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N:\Prosjekt\Anskaffelser.no\Dokumentfiler lastet etter 25.09.17\LCC\"/>
    </mc:Choice>
  </mc:AlternateContent>
  <bookViews>
    <workbookView xWindow="0" yWindow="0" windowWidth="22980" windowHeight="8940" tabRatio="807"/>
  </bookViews>
  <sheets>
    <sheet name="Forside" sheetId="30" r:id="rId1"/>
    <sheet name="Begreper" sheetId="28" r:id="rId2"/>
    <sheet name="Steg for steg" sheetId="29" r:id="rId3"/>
    <sheet name="Planlegging og Evaluering" sheetId="2" r:id="rId4"/>
    <sheet name="Prisskjema" sheetId="18" r:id="rId5"/>
    <sheet name="Tilbud 1" sheetId="10" r:id="rId6"/>
    <sheet name="Tilbud 2" sheetId="11" r:id="rId7"/>
    <sheet name="Tilbud 3" sheetId="12" r:id="rId8"/>
    <sheet name="Tilbud 4" sheetId="13" r:id="rId9"/>
    <sheet name="Tilbud 5" sheetId="14" r:id="rId10"/>
    <sheet name="Tilbud 6" sheetId="25" r:id="rId11"/>
    <sheet name="Tilbud 7" sheetId="26" r:id="rId12"/>
    <sheet name="Oppfølging" sheetId="20" r:id="rId13"/>
    <sheet name="Motor" sheetId="9" r:id="rId14"/>
    <sheet name="Score" sheetId="23" state="hidden" r:id="rId15"/>
  </sheets>
  <externalReferences>
    <externalReference r:id="rId16"/>
    <externalReference r:id="rId17"/>
  </externalReferences>
  <definedNames>
    <definedName name="Analyseperiode" localSheetId="1">'[1]Planlegging og Evaluering'!#REF!</definedName>
    <definedName name="Analyseperiode" localSheetId="0">'[1]Planlegging og Evaluering'!#REF!</definedName>
    <definedName name="Analyseperiode" localSheetId="12">'Planlegging og Evaluering'!#REF!</definedName>
    <definedName name="Analyseperiode" localSheetId="14">'Planlegging og Evaluering'!#REF!</definedName>
    <definedName name="Analyseperiode" localSheetId="2">'[2]Planlegging og Evaluering'!#REF!</definedName>
    <definedName name="Analyseperiode" localSheetId="10">'Planlegging og Evaluering'!#REF!</definedName>
    <definedName name="Analyseperiode" localSheetId="11">'Planlegging og Evaluering'!#REF!</definedName>
    <definedName name="Analyseperiode">'Planlegging og Evaluering'!#REF!</definedName>
    <definedName name="InvesteringT1">'Tilbud 1'!$F$16</definedName>
    <definedName name="Justert_prisstigning" localSheetId="1">[1]Motor!$F$4</definedName>
    <definedName name="Justert_prisstigning" localSheetId="0">[1]Motor!$F$4</definedName>
    <definedName name="Justert_prisstigning" localSheetId="2">[1]Motor!$F$4</definedName>
    <definedName name="Justert_prisstigning">Motor!$F$4</definedName>
    <definedName name="Kalkulsjonsrente" localSheetId="1">'[1]Planlegging og Evaluering'!$C$5</definedName>
    <definedName name="Kalkulsjonsrente" localSheetId="0">'[1]Planlegging og Evaluering'!$C$5</definedName>
    <definedName name="Kalkulsjonsrente" localSheetId="2">'[2]Planlegging og Evaluering'!$C$5</definedName>
    <definedName name="Kalkulsjonsrente">'Planlegging og Evaluering'!$C$5</definedName>
    <definedName name="Levetid" localSheetId="1">'[1]Planlegging og Evaluering'!$C$6</definedName>
    <definedName name="Levetid" localSheetId="0">'[1]Planlegging og Evaluering'!$C$6</definedName>
    <definedName name="Levetid" localSheetId="2">'[2]Planlegging og Evaluering'!$C$6</definedName>
    <definedName name="Levetid">'Planlegging og Evaluering'!$C$6</definedName>
    <definedName name="Navn_anskaffelse" localSheetId="1">'[1]Planlegging og Evaluering'!$B$2</definedName>
    <definedName name="Navn_anskaffelse" localSheetId="0">'[1]Planlegging og Evaluering'!$B$2</definedName>
    <definedName name="Navn_anskaffelse" localSheetId="2">'[2]Planlegging og Evaluering'!$B$2</definedName>
    <definedName name="Navn_anskaffelse">'Planlegging og Evaluering'!$B$2</definedName>
    <definedName name="Norges_Banks_inflasjonsmål" localSheetId="1">[1]Motor!$D$4</definedName>
    <definedName name="Norges_Banks_inflasjonsmål" localSheetId="0">[1]Motor!$D$4</definedName>
    <definedName name="Norges_Banks_inflasjonsmål" localSheetId="2">[1]Motor!$D$4</definedName>
    <definedName name="Norges_Banks_inflasjonsmål">Motor!$D$4</definedName>
    <definedName name="Prisjustering" localSheetId="1">'[1]Planlegging og Evaluering'!$C$7</definedName>
    <definedName name="Prisjustering" localSheetId="0">'[1]Planlegging og Evaluering'!$C$7</definedName>
    <definedName name="Prisjustering" localSheetId="2">'[2]Planlegging og Evaluering'!$C$7</definedName>
    <definedName name="Prisjustering">'Planlegging og Evaluering'!$C$7</definedName>
    <definedName name="Restverdi">'Planlegging og Evaluering'!$C$8</definedName>
    <definedName name="_xlnm.Print_Area" localSheetId="0">Forside!$B$1:$M$29</definedName>
    <definedName name="_xlnm.Print_Area" localSheetId="4">Prisskjema!$B$2:$F$30</definedName>
    <definedName name="_xlnm.Print_Area" localSheetId="14">Score!$B$2:$F$30</definedName>
  </definedNames>
  <calcPr calcId="171027"/>
</workbook>
</file>

<file path=xl/calcChain.xml><?xml version="1.0" encoding="utf-8"?>
<calcChain xmlns="http://schemas.openxmlformats.org/spreadsheetml/2006/main">
  <c r="D20" i="18" l="1"/>
  <c r="B2" i="28" l="1"/>
  <c r="F14" i="10" l="1"/>
  <c r="C13" i="18"/>
  <c r="C38" i="2" l="1"/>
  <c r="F25" i="26"/>
  <c r="F22" i="26"/>
  <c r="F21" i="26"/>
  <c r="F20" i="26"/>
  <c r="F19" i="26"/>
  <c r="F18" i="26"/>
  <c r="F15" i="26"/>
  <c r="F14" i="26"/>
  <c r="F13" i="26"/>
  <c r="F25" i="25"/>
  <c r="F22" i="25"/>
  <c r="F21" i="25"/>
  <c r="F20" i="25"/>
  <c r="F19" i="25"/>
  <c r="F18" i="25"/>
  <c r="F15" i="25"/>
  <c r="F14" i="25"/>
  <c r="F13" i="25"/>
  <c r="F16" i="25" l="1"/>
  <c r="F16" i="26"/>
  <c r="F23" i="25"/>
  <c r="F23" i="26"/>
  <c r="Y103" i="9"/>
  <c r="X103" i="9"/>
  <c r="W103" i="9"/>
  <c r="V103" i="9"/>
  <c r="U103" i="9"/>
  <c r="T103" i="9"/>
  <c r="S103" i="9"/>
  <c r="R103" i="9"/>
  <c r="Q103" i="9"/>
  <c r="P103" i="9"/>
  <c r="O103" i="9"/>
  <c r="N103" i="9"/>
  <c r="M103" i="9"/>
  <c r="L103" i="9"/>
  <c r="J103" i="9"/>
  <c r="I103" i="9"/>
  <c r="H103" i="9"/>
  <c r="G103" i="9"/>
  <c r="F103" i="9"/>
  <c r="E103" i="9"/>
  <c r="F118" i="9"/>
  <c r="G118" i="9"/>
  <c r="H118" i="9"/>
  <c r="I118" i="9"/>
  <c r="J118" i="9"/>
  <c r="L118" i="9"/>
  <c r="M118" i="9"/>
  <c r="N118" i="9"/>
  <c r="O118" i="9"/>
  <c r="P118" i="9"/>
  <c r="Q118" i="9"/>
  <c r="R118" i="9"/>
  <c r="S118" i="9"/>
  <c r="T118" i="9"/>
  <c r="U118" i="9"/>
  <c r="V118" i="9"/>
  <c r="W118" i="9"/>
  <c r="X118" i="9"/>
  <c r="Y118" i="9"/>
  <c r="E118" i="9"/>
  <c r="E163" i="9"/>
  <c r="E148" i="9"/>
  <c r="E62" i="18" l="1"/>
  <c r="F4" i="9" l="1"/>
  <c r="X45" i="18"/>
  <c r="W45" i="18"/>
  <c r="V45" i="18"/>
  <c r="U45" i="18"/>
  <c r="T45" i="18"/>
  <c r="S45" i="18"/>
  <c r="R45" i="18"/>
  <c r="Q45" i="18"/>
  <c r="P45" i="18"/>
  <c r="O45" i="18"/>
  <c r="N45" i="18"/>
  <c r="M45" i="18"/>
  <c r="L45" i="18"/>
  <c r="K45" i="18"/>
  <c r="I45" i="18"/>
  <c r="H45" i="18"/>
  <c r="G45" i="18"/>
  <c r="F45" i="18"/>
  <c r="E45" i="18"/>
  <c r="D45" i="18"/>
  <c r="X44" i="18"/>
  <c r="W44" i="18"/>
  <c r="V44" i="18"/>
  <c r="U44" i="18"/>
  <c r="T44" i="18"/>
  <c r="S44" i="18"/>
  <c r="R44" i="18"/>
  <c r="Q44" i="18"/>
  <c r="P44" i="18"/>
  <c r="O44" i="18"/>
  <c r="N44" i="18"/>
  <c r="M44" i="18"/>
  <c r="L44" i="18"/>
  <c r="K44" i="18"/>
  <c r="X43" i="18"/>
  <c r="W43" i="18"/>
  <c r="V43" i="18"/>
  <c r="U43" i="18"/>
  <c r="T43" i="18"/>
  <c r="S43" i="18"/>
  <c r="R43" i="18"/>
  <c r="Q43" i="18"/>
  <c r="P43" i="18"/>
  <c r="O43" i="18"/>
  <c r="N43" i="18"/>
  <c r="M43" i="18"/>
  <c r="L43" i="18"/>
  <c r="K43" i="18"/>
  <c r="X42" i="18"/>
  <c r="W42" i="18"/>
  <c r="V42" i="18"/>
  <c r="U42" i="18"/>
  <c r="T42" i="18"/>
  <c r="S42" i="18"/>
  <c r="R42" i="18"/>
  <c r="Q42" i="18"/>
  <c r="P42" i="18"/>
  <c r="O42" i="18"/>
  <c r="N42" i="18"/>
  <c r="M42" i="18"/>
  <c r="L42" i="18"/>
  <c r="K42" i="18"/>
  <c r="X41" i="18"/>
  <c r="W41" i="18"/>
  <c r="V41" i="18"/>
  <c r="U41" i="18"/>
  <c r="T41" i="18"/>
  <c r="S41" i="18"/>
  <c r="R41" i="18"/>
  <c r="Q41" i="18"/>
  <c r="P41" i="18"/>
  <c r="O41" i="18"/>
  <c r="N41" i="18"/>
  <c r="M41" i="18"/>
  <c r="L41" i="18"/>
  <c r="K41" i="18"/>
  <c r="X40" i="18"/>
  <c r="W40" i="18"/>
  <c r="V40" i="18"/>
  <c r="U40" i="18"/>
  <c r="T40" i="18"/>
  <c r="S40" i="18"/>
  <c r="R40" i="18"/>
  <c r="Q40" i="18"/>
  <c r="P40" i="18"/>
  <c r="O40" i="18"/>
  <c r="N40" i="18"/>
  <c r="M40" i="18"/>
  <c r="L40" i="18"/>
  <c r="K40" i="18"/>
  <c r="Y163" i="9"/>
  <c r="X163" i="9"/>
  <c r="W163" i="9"/>
  <c r="V163" i="9"/>
  <c r="U163" i="9"/>
  <c r="T163" i="9"/>
  <c r="S163" i="9"/>
  <c r="R163" i="9"/>
  <c r="Q163" i="9"/>
  <c r="P163" i="9"/>
  <c r="O163" i="9"/>
  <c r="N163" i="9"/>
  <c r="M163" i="9"/>
  <c r="L163" i="9"/>
  <c r="J163" i="9"/>
  <c r="I163" i="9"/>
  <c r="H163" i="9"/>
  <c r="G163" i="9"/>
  <c r="F163" i="9"/>
  <c r="Y162" i="9"/>
  <c r="X162" i="9"/>
  <c r="W162" i="9"/>
  <c r="V162" i="9"/>
  <c r="U162" i="9"/>
  <c r="T162" i="9"/>
  <c r="S162" i="9"/>
  <c r="R162" i="9"/>
  <c r="Q162" i="9"/>
  <c r="P162" i="9"/>
  <c r="O162" i="9"/>
  <c r="N162" i="9"/>
  <c r="M162" i="9"/>
  <c r="L162" i="9"/>
  <c r="Y161" i="9"/>
  <c r="X161" i="9"/>
  <c r="W161" i="9"/>
  <c r="V161" i="9"/>
  <c r="U161" i="9"/>
  <c r="T161" i="9"/>
  <c r="S161" i="9"/>
  <c r="R161" i="9"/>
  <c r="Q161" i="9"/>
  <c r="P161" i="9"/>
  <c r="O161" i="9"/>
  <c r="N161" i="9"/>
  <c r="M161" i="9"/>
  <c r="L161" i="9"/>
  <c r="Y160" i="9"/>
  <c r="X160" i="9"/>
  <c r="W160" i="9"/>
  <c r="V160" i="9"/>
  <c r="U160" i="9"/>
  <c r="T160" i="9"/>
  <c r="S160" i="9"/>
  <c r="R160" i="9"/>
  <c r="Q160" i="9"/>
  <c r="P160" i="9"/>
  <c r="O160" i="9"/>
  <c r="N160" i="9"/>
  <c r="M160" i="9"/>
  <c r="L160" i="9"/>
  <c r="Y159" i="9"/>
  <c r="X159" i="9"/>
  <c r="W159" i="9"/>
  <c r="V159" i="9"/>
  <c r="U159" i="9"/>
  <c r="T159" i="9"/>
  <c r="S159" i="9"/>
  <c r="R159" i="9"/>
  <c r="Q159" i="9"/>
  <c r="P159" i="9"/>
  <c r="O159" i="9"/>
  <c r="N159" i="9"/>
  <c r="M159" i="9"/>
  <c r="L159" i="9"/>
  <c r="Y158" i="9"/>
  <c r="X158" i="9"/>
  <c r="W158" i="9"/>
  <c r="V158" i="9"/>
  <c r="U158" i="9"/>
  <c r="T158" i="9"/>
  <c r="S158" i="9"/>
  <c r="R158" i="9"/>
  <c r="Q158" i="9"/>
  <c r="P158" i="9"/>
  <c r="O158" i="9"/>
  <c r="N158" i="9"/>
  <c r="M158" i="9"/>
  <c r="L158" i="9"/>
  <c r="Y148" i="9"/>
  <c r="X148" i="9"/>
  <c r="W148" i="9"/>
  <c r="V148" i="9"/>
  <c r="U148" i="9"/>
  <c r="T148" i="9"/>
  <c r="S148" i="9"/>
  <c r="R148" i="9"/>
  <c r="Q148" i="9"/>
  <c r="P148" i="9"/>
  <c r="O148" i="9"/>
  <c r="N148" i="9"/>
  <c r="M148" i="9"/>
  <c r="L148" i="9"/>
  <c r="J148" i="9"/>
  <c r="I148" i="9"/>
  <c r="H148" i="9"/>
  <c r="G148" i="9"/>
  <c r="F148" i="9"/>
  <c r="Y147" i="9"/>
  <c r="X147" i="9"/>
  <c r="W147" i="9"/>
  <c r="V147" i="9"/>
  <c r="U147" i="9"/>
  <c r="T147" i="9"/>
  <c r="S147" i="9"/>
  <c r="R147" i="9"/>
  <c r="Q147" i="9"/>
  <c r="P147" i="9"/>
  <c r="O147" i="9"/>
  <c r="N147" i="9"/>
  <c r="M147" i="9"/>
  <c r="L147" i="9"/>
  <c r="Y146" i="9"/>
  <c r="X146" i="9"/>
  <c r="W146" i="9"/>
  <c r="V146" i="9"/>
  <c r="U146" i="9"/>
  <c r="T146" i="9"/>
  <c r="S146" i="9"/>
  <c r="R146" i="9"/>
  <c r="Q146" i="9"/>
  <c r="P146" i="9"/>
  <c r="O146" i="9"/>
  <c r="N146" i="9"/>
  <c r="M146" i="9"/>
  <c r="L146" i="9"/>
  <c r="Y145" i="9"/>
  <c r="X145" i="9"/>
  <c r="W145" i="9"/>
  <c r="V145" i="9"/>
  <c r="U145" i="9"/>
  <c r="T145" i="9"/>
  <c r="S145" i="9"/>
  <c r="R145" i="9"/>
  <c r="Q145" i="9"/>
  <c r="P145" i="9"/>
  <c r="O145" i="9"/>
  <c r="N145" i="9"/>
  <c r="M145" i="9"/>
  <c r="L145" i="9"/>
  <c r="Y144" i="9"/>
  <c r="X144" i="9"/>
  <c r="W144" i="9"/>
  <c r="V144" i="9"/>
  <c r="U144" i="9"/>
  <c r="T144" i="9"/>
  <c r="S144" i="9"/>
  <c r="R144" i="9"/>
  <c r="Q144" i="9"/>
  <c r="P144" i="9"/>
  <c r="O144" i="9"/>
  <c r="N144" i="9"/>
  <c r="M144" i="9"/>
  <c r="L144" i="9"/>
  <c r="Y143" i="9"/>
  <c r="X143" i="9"/>
  <c r="W143" i="9"/>
  <c r="V143" i="9"/>
  <c r="U143" i="9"/>
  <c r="T143" i="9"/>
  <c r="S143" i="9"/>
  <c r="R143" i="9"/>
  <c r="Q143" i="9"/>
  <c r="P143" i="9"/>
  <c r="O143" i="9"/>
  <c r="N143" i="9"/>
  <c r="M143" i="9"/>
  <c r="L143" i="9"/>
  <c r="Y133" i="9"/>
  <c r="X133" i="9"/>
  <c r="W133" i="9"/>
  <c r="V133" i="9"/>
  <c r="U133" i="9"/>
  <c r="T133" i="9"/>
  <c r="S133" i="9"/>
  <c r="R133" i="9"/>
  <c r="Q133" i="9"/>
  <c r="P133" i="9"/>
  <c r="O133" i="9"/>
  <c r="N133" i="9"/>
  <c r="M133" i="9"/>
  <c r="L133" i="9"/>
  <c r="J133" i="9"/>
  <c r="I133" i="9"/>
  <c r="H133" i="9"/>
  <c r="G133" i="9"/>
  <c r="F133" i="9"/>
  <c r="E133" i="9"/>
  <c r="Y132" i="9"/>
  <c r="X132" i="9"/>
  <c r="W132" i="9"/>
  <c r="V132" i="9"/>
  <c r="U132" i="9"/>
  <c r="T132" i="9"/>
  <c r="S132" i="9"/>
  <c r="R132" i="9"/>
  <c r="Q132" i="9"/>
  <c r="P132" i="9"/>
  <c r="O132" i="9"/>
  <c r="N132" i="9"/>
  <c r="M132" i="9"/>
  <c r="L132" i="9"/>
  <c r="Y131" i="9"/>
  <c r="X131" i="9"/>
  <c r="W131" i="9"/>
  <c r="V131" i="9"/>
  <c r="U131" i="9"/>
  <c r="T131" i="9"/>
  <c r="S131" i="9"/>
  <c r="R131" i="9"/>
  <c r="Q131" i="9"/>
  <c r="P131" i="9"/>
  <c r="O131" i="9"/>
  <c r="N131" i="9"/>
  <c r="M131" i="9"/>
  <c r="L131" i="9"/>
  <c r="Y130" i="9"/>
  <c r="X130" i="9"/>
  <c r="W130" i="9"/>
  <c r="V130" i="9"/>
  <c r="U130" i="9"/>
  <c r="T130" i="9"/>
  <c r="S130" i="9"/>
  <c r="R130" i="9"/>
  <c r="Q130" i="9"/>
  <c r="P130" i="9"/>
  <c r="O130" i="9"/>
  <c r="N130" i="9"/>
  <c r="M130" i="9"/>
  <c r="L130" i="9"/>
  <c r="Y129" i="9"/>
  <c r="X129" i="9"/>
  <c r="W129" i="9"/>
  <c r="V129" i="9"/>
  <c r="U129" i="9"/>
  <c r="T129" i="9"/>
  <c r="S129" i="9"/>
  <c r="R129" i="9"/>
  <c r="Q129" i="9"/>
  <c r="P129" i="9"/>
  <c r="O129" i="9"/>
  <c r="N129" i="9"/>
  <c r="M129" i="9"/>
  <c r="L129" i="9"/>
  <c r="Y128" i="9"/>
  <c r="X128" i="9"/>
  <c r="W128" i="9"/>
  <c r="V128" i="9"/>
  <c r="U128" i="9"/>
  <c r="T128" i="9"/>
  <c r="S128" i="9"/>
  <c r="R128" i="9"/>
  <c r="Q128" i="9"/>
  <c r="P128" i="9"/>
  <c r="O128" i="9"/>
  <c r="N128" i="9"/>
  <c r="M128" i="9"/>
  <c r="L128" i="9"/>
  <c r="Y117" i="9"/>
  <c r="X117" i="9"/>
  <c r="W117" i="9"/>
  <c r="V117" i="9"/>
  <c r="U117" i="9"/>
  <c r="T117" i="9"/>
  <c r="S117" i="9"/>
  <c r="R117" i="9"/>
  <c r="Q117" i="9"/>
  <c r="P117" i="9"/>
  <c r="O117" i="9"/>
  <c r="N117" i="9"/>
  <c r="M117" i="9"/>
  <c r="L117" i="9"/>
  <c r="Y116" i="9"/>
  <c r="X116" i="9"/>
  <c r="W116" i="9"/>
  <c r="V116" i="9"/>
  <c r="U116" i="9"/>
  <c r="T116" i="9"/>
  <c r="S116" i="9"/>
  <c r="R116" i="9"/>
  <c r="Q116" i="9"/>
  <c r="P116" i="9"/>
  <c r="O116" i="9"/>
  <c r="N116" i="9"/>
  <c r="M116" i="9"/>
  <c r="L116" i="9"/>
  <c r="Y115" i="9"/>
  <c r="X115" i="9"/>
  <c r="W115" i="9"/>
  <c r="V115" i="9"/>
  <c r="U115" i="9"/>
  <c r="T115" i="9"/>
  <c r="S115" i="9"/>
  <c r="R115" i="9"/>
  <c r="Q115" i="9"/>
  <c r="P115" i="9"/>
  <c r="O115" i="9"/>
  <c r="N115" i="9"/>
  <c r="M115" i="9"/>
  <c r="L115" i="9"/>
  <c r="Y114" i="9"/>
  <c r="X114" i="9"/>
  <c r="W114" i="9"/>
  <c r="V114" i="9"/>
  <c r="U114" i="9"/>
  <c r="T114" i="9"/>
  <c r="S114" i="9"/>
  <c r="R114" i="9"/>
  <c r="Q114" i="9"/>
  <c r="P114" i="9"/>
  <c r="O114" i="9"/>
  <c r="N114" i="9"/>
  <c r="M114" i="9"/>
  <c r="L114" i="9"/>
  <c r="Y113" i="9"/>
  <c r="X113" i="9"/>
  <c r="W113" i="9"/>
  <c r="V113" i="9"/>
  <c r="U113" i="9"/>
  <c r="T113" i="9"/>
  <c r="S113" i="9"/>
  <c r="R113" i="9"/>
  <c r="Q113" i="9"/>
  <c r="P113" i="9"/>
  <c r="O113" i="9"/>
  <c r="N113" i="9"/>
  <c r="M113" i="9"/>
  <c r="L113" i="9"/>
  <c r="Y102" i="9"/>
  <c r="X102" i="9"/>
  <c r="W102" i="9"/>
  <c r="V102" i="9"/>
  <c r="U102" i="9"/>
  <c r="T102" i="9"/>
  <c r="S102" i="9"/>
  <c r="R102" i="9"/>
  <c r="Q102" i="9"/>
  <c r="P102" i="9"/>
  <c r="O102" i="9"/>
  <c r="N102" i="9"/>
  <c r="M102" i="9"/>
  <c r="L102" i="9"/>
  <c r="Y101" i="9"/>
  <c r="X101" i="9"/>
  <c r="W101" i="9"/>
  <c r="V101" i="9"/>
  <c r="U101" i="9"/>
  <c r="T101" i="9"/>
  <c r="S101" i="9"/>
  <c r="R101" i="9"/>
  <c r="Q101" i="9"/>
  <c r="P101" i="9"/>
  <c r="O101" i="9"/>
  <c r="N101" i="9"/>
  <c r="M101" i="9"/>
  <c r="L101" i="9"/>
  <c r="Y100" i="9"/>
  <c r="X100" i="9"/>
  <c r="W100" i="9"/>
  <c r="V100" i="9"/>
  <c r="U100" i="9"/>
  <c r="T100" i="9"/>
  <c r="S100" i="9"/>
  <c r="R100" i="9"/>
  <c r="Q100" i="9"/>
  <c r="P100" i="9"/>
  <c r="O100" i="9"/>
  <c r="N100" i="9"/>
  <c r="M100" i="9"/>
  <c r="L100" i="9"/>
  <c r="Y99" i="9"/>
  <c r="X99" i="9"/>
  <c r="W99" i="9"/>
  <c r="V99" i="9"/>
  <c r="U99" i="9"/>
  <c r="T99" i="9"/>
  <c r="S99" i="9"/>
  <c r="R99" i="9"/>
  <c r="Q99" i="9"/>
  <c r="P99" i="9"/>
  <c r="O99" i="9"/>
  <c r="N99" i="9"/>
  <c r="M99" i="9"/>
  <c r="L99" i="9"/>
  <c r="Y98" i="9"/>
  <c r="X98" i="9"/>
  <c r="W98" i="9"/>
  <c r="V98" i="9"/>
  <c r="U98" i="9"/>
  <c r="T98" i="9"/>
  <c r="S98" i="9"/>
  <c r="R98" i="9"/>
  <c r="Q98" i="9"/>
  <c r="P98" i="9"/>
  <c r="O98" i="9"/>
  <c r="N98" i="9"/>
  <c r="M98" i="9"/>
  <c r="L98" i="9"/>
  <c r="Y88" i="9"/>
  <c r="X88" i="9"/>
  <c r="W88" i="9"/>
  <c r="V88" i="9"/>
  <c r="U88" i="9"/>
  <c r="T88" i="9"/>
  <c r="S88" i="9"/>
  <c r="R88" i="9"/>
  <c r="Q88" i="9"/>
  <c r="P88" i="9"/>
  <c r="O88" i="9"/>
  <c r="N88" i="9"/>
  <c r="M88" i="9"/>
  <c r="L88" i="9"/>
  <c r="J88" i="9"/>
  <c r="I88" i="9"/>
  <c r="H88" i="9"/>
  <c r="G88" i="9"/>
  <c r="F88" i="9"/>
  <c r="E88" i="9"/>
  <c r="Y87" i="9"/>
  <c r="X87" i="9"/>
  <c r="W87" i="9"/>
  <c r="V87" i="9"/>
  <c r="U87" i="9"/>
  <c r="T87" i="9"/>
  <c r="S87" i="9"/>
  <c r="R87" i="9"/>
  <c r="Q87" i="9"/>
  <c r="P87" i="9"/>
  <c r="O87" i="9"/>
  <c r="N87" i="9"/>
  <c r="M87" i="9"/>
  <c r="L87" i="9"/>
  <c r="Y86" i="9"/>
  <c r="X86" i="9"/>
  <c r="W86" i="9"/>
  <c r="V86" i="9"/>
  <c r="U86" i="9"/>
  <c r="T86" i="9"/>
  <c r="S86" i="9"/>
  <c r="R86" i="9"/>
  <c r="Q86" i="9"/>
  <c r="P86" i="9"/>
  <c r="O86" i="9"/>
  <c r="N86" i="9"/>
  <c r="M86" i="9"/>
  <c r="L86" i="9"/>
  <c r="Y85" i="9"/>
  <c r="X85" i="9"/>
  <c r="W85" i="9"/>
  <c r="V85" i="9"/>
  <c r="U85" i="9"/>
  <c r="T85" i="9"/>
  <c r="S85" i="9"/>
  <c r="R85" i="9"/>
  <c r="Q85" i="9"/>
  <c r="P85" i="9"/>
  <c r="O85" i="9"/>
  <c r="N85" i="9"/>
  <c r="M85" i="9"/>
  <c r="L85" i="9"/>
  <c r="Y84" i="9"/>
  <c r="X84" i="9"/>
  <c r="W84" i="9"/>
  <c r="V84" i="9"/>
  <c r="U84" i="9"/>
  <c r="T84" i="9"/>
  <c r="S84" i="9"/>
  <c r="R84" i="9"/>
  <c r="Q84" i="9"/>
  <c r="P84" i="9"/>
  <c r="O84" i="9"/>
  <c r="N84" i="9"/>
  <c r="M84" i="9"/>
  <c r="L84" i="9"/>
  <c r="Y83" i="9"/>
  <c r="X83" i="9"/>
  <c r="W83" i="9"/>
  <c r="V83" i="9"/>
  <c r="U83" i="9"/>
  <c r="T83" i="9"/>
  <c r="S83" i="9"/>
  <c r="R83" i="9"/>
  <c r="Q83" i="9"/>
  <c r="P83" i="9"/>
  <c r="O83" i="9"/>
  <c r="N83" i="9"/>
  <c r="M83" i="9"/>
  <c r="L83" i="9"/>
  <c r="Y73" i="9"/>
  <c r="X73" i="9"/>
  <c r="W73" i="9"/>
  <c r="V73" i="9"/>
  <c r="U73" i="9"/>
  <c r="T73" i="9"/>
  <c r="S73" i="9"/>
  <c r="R73" i="9"/>
  <c r="Q73" i="9"/>
  <c r="P73" i="9"/>
  <c r="O73" i="9"/>
  <c r="N73" i="9"/>
  <c r="M73" i="9"/>
  <c r="L73" i="9"/>
  <c r="J73" i="9"/>
  <c r="I73" i="9"/>
  <c r="H73" i="9"/>
  <c r="G73" i="9"/>
  <c r="F73" i="9"/>
  <c r="E73" i="9"/>
  <c r="Y72" i="9"/>
  <c r="X72" i="9"/>
  <c r="W72" i="9"/>
  <c r="V72" i="9"/>
  <c r="U72" i="9"/>
  <c r="T72" i="9"/>
  <c r="S72" i="9"/>
  <c r="R72" i="9"/>
  <c r="Q72" i="9"/>
  <c r="P72" i="9"/>
  <c r="O72" i="9"/>
  <c r="N72" i="9"/>
  <c r="M72" i="9"/>
  <c r="L72" i="9"/>
  <c r="Y71" i="9"/>
  <c r="X71" i="9"/>
  <c r="W71" i="9"/>
  <c r="V71" i="9"/>
  <c r="U71" i="9"/>
  <c r="T71" i="9"/>
  <c r="S71" i="9"/>
  <c r="R71" i="9"/>
  <c r="Q71" i="9"/>
  <c r="P71" i="9"/>
  <c r="O71" i="9"/>
  <c r="N71" i="9"/>
  <c r="M71" i="9"/>
  <c r="L71" i="9"/>
  <c r="Y70" i="9"/>
  <c r="X70" i="9"/>
  <c r="W70" i="9"/>
  <c r="V70" i="9"/>
  <c r="U70" i="9"/>
  <c r="T70" i="9"/>
  <c r="S70" i="9"/>
  <c r="R70" i="9"/>
  <c r="Q70" i="9"/>
  <c r="P70" i="9"/>
  <c r="O70" i="9"/>
  <c r="N70" i="9"/>
  <c r="M70" i="9"/>
  <c r="L70" i="9"/>
  <c r="Y69" i="9"/>
  <c r="X69" i="9"/>
  <c r="W69" i="9"/>
  <c r="V69" i="9"/>
  <c r="U69" i="9"/>
  <c r="T69" i="9"/>
  <c r="S69" i="9"/>
  <c r="R69" i="9"/>
  <c r="Q69" i="9"/>
  <c r="P69" i="9"/>
  <c r="O69" i="9"/>
  <c r="N69" i="9"/>
  <c r="M69" i="9"/>
  <c r="L69" i="9"/>
  <c r="Y68" i="9"/>
  <c r="X68" i="9"/>
  <c r="W68" i="9"/>
  <c r="V68" i="9"/>
  <c r="U68" i="9"/>
  <c r="T68" i="9"/>
  <c r="S68" i="9"/>
  <c r="R68" i="9"/>
  <c r="Q68" i="9"/>
  <c r="P68" i="9"/>
  <c r="O68" i="9"/>
  <c r="N68" i="9"/>
  <c r="M68" i="9"/>
  <c r="L68" i="9"/>
  <c r="Y45" i="9"/>
  <c r="X45" i="9"/>
  <c r="W45" i="9"/>
  <c r="V45" i="9"/>
  <c r="U45" i="9"/>
  <c r="T45" i="9"/>
  <c r="S45" i="9"/>
  <c r="R45" i="9"/>
  <c r="Q45" i="9"/>
  <c r="P45" i="9"/>
  <c r="O45" i="9"/>
  <c r="N45" i="9"/>
  <c r="M45" i="9"/>
  <c r="L45" i="9"/>
  <c r="J45" i="9"/>
  <c r="I45" i="9"/>
  <c r="H45" i="9"/>
  <c r="G45" i="9"/>
  <c r="F45" i="9"/>
  <c r="E45" i="9"/>
  <c r="Y44" i="9"/>
  <c r="X44" i="9"/>
  <c r="W44" i="9"/>
  <c r="V44" i="9"/>
  <c r="U44" i="9"/>
  <c r="T44" i="9"/>
  <c r="S44" i="9"/>
  <c r="R44" i="9"/>
  <c r="Q44" i="9"/>
  <c r="P44" i="9"/>
  <c r="O44" i="9"/>
  <c r="N44" i="9"/>
  <c r="M44" i="9"/>
  <c r="L44" i="9"/>
  <c r="Y43" i="9"/>
  <c r="X43" i="9"/>
  <c r="W43" i="9"/>
  <c r="V43" i="9"/>
  <c r="U43" i="9"/>
  <c r="T43" i="9"/>
  <c r="S43" i="9"/>
  <c r="R43" i="9"/>
  <c r="Q43" i="9"/>
  <c r="P43" i="9"/>
  <c r="O43" i="9"/>
  <c r="N43" i="9"/>
  <c r="M43" i="9"/>
  <c r="L43" i="9"/>
  <c r="Y42" i="9"/>
  <c r="X42" i="9"/>
  <c r="W42" i="9"/>
  <c r="V42" i="9"/>
  <c r="U42" i="9"/>
  <c r="T42" i="9"/>
  <c r="S42" i="9"/>
  <c r="R42" i="9"/>
  <c r="Q42" i="9"/>
  <c r="P42" i="9"/>
  <c r="O42" i="9"/>
  <c r="N42" i="9"/>
  <c r="M42" i="9"/>
  <c r="L42" i="9"/>
  <c r="Y41" i="9"/>
  <c r="X41" i="9"/>
  <c r="W41" i="9"/>
  <c r="V41" i="9"/>
  <c r="U41" i="9"/>
  <c r="T41" i="9"/>
  <c r="S41" i="9"/>
  <c r="R41" i="9"/>
  <c r="Q41" i="9"/>
  <c r="P41" i="9"/>
  <c r="O41" i="9"/>
  <c r="N41" i="9"/>
  <c r="M41" i="9"/>
  <c r="L41" i="9"/>
  <c r="Y40" i="9"/>
  <c r="X40" i="9"/>
  <c r="W40" i="9"/>
  <c r="V40" i="9"/>
  <c r="U40" i="9"/>
  <c r="T40" i="9"/>
  <c r="S40" i="9"/>
  <c r="R40" i="9"/>
  <c r="Q40" i="9"/>
  <c r="P40" i="9"/>
  <c r="O40" i="9"/>
  <c r="N40" i="9"/>
  <c r="M40" i="9"/>
  <c r="L40" i="9"/>
  <c r="W63" i="18" l="1"/>
  <c r="C67" i="18"/>
  <c r="J63" i="18"/>
  <c r="R63" i="18"/>
  <c r="K63" i="18"/>
  <c r="S63" i="18"/>
  <c r="F63" i="18"/>
  <c r="N63" i="18"/>
  <c r="V63" i="18"/>
  <c r="G63" i="18"/>
  <c r="O63" i="18"/>
  <c r="D63" i="18"/>
  <c r="H63" i="18"/>
  <c r="L63" i="18"/>
  <c r="P63" i="18"/>
  <c r="T63" i="18"/>
  <c r="X63" i="18"/>
  <c r="E63" i="18"/>
  <c r="I63" i="18"/>
  <c r="M63" i="18"/>
  <c r="Q63" i="18"/>
  <c r="U63" i="18"/>
  <c r="E13" i="18"/>
  <c r="E22" i="18"/>
  <c r="G24" i="2" l="1"/>
  <c r="B27" i="23" l="1"/>
  <c r="B26" i="23"/>
  <c r="B25" i="23"/>
  <c r="B24" i="23"/>
  <c r="B23" i="23"/>
  <c r="B19" i="23"/>
  <c r="B18" i="23"/>
  <c r="B17" i="23"/>
  <c r="B16" i="23"/>
  <c r="B15" i="23"/>
  <c r="D8" i="23"/>
  <c r="C4" i="23"/>
  <c r="D150" i="9"/>
  <c r="D149" i="9"/>
  <c r="D104" i="9"/>
  <c r="C31" i="20" s="1"/>
  <c r="D89" i="9"/>
  <c r="D60" i="9"/>
  <c r="X18" i="20"/>
  <c r="W18" i="20"/>
  <c r="V18" i="20"/>
  <c r="U18" i="20"/>
  <c r="T18" i="20"/>
  <c r="S18" i="20"/>
  <c r="R18" i="20"/>
  <c r="Q18" i="20"/>
  <c r="P18" i="20"/>
  <c r="O18" i="20"/>
  <c r="N18" i="20"/>
  <c r="M18" i="20"/>
  <c r="L18" i="20"/>
  <c r="K18" i="20"/>
  <c r="X17" i="20"/>
  <c r="W17" i="20"/>
  <c r="V17" i="20"/>
  <c r="U17" i="20"/>
  <c r="T17" i="20"/>
  <c r="S17" i="20"/>
  <c r="R17" i="20"/>
  <c r="Q17" i="20"/>
  <c r="P17" i="20"/>
  <c r="O17" i="20"/>
  <c r="N17" i="20"/>
  <c r="M17" i="20"/>
  <c r="L17" i="20"/>
  <c r="K17" i="20"/>
  <c r="W16" i="20"/>
  <c r="V16" i="20"/>
  <c r="U16" i="20"/>
  <c r="S16" i="20"/>
  <c r="R16" i="20"/>
  <c r="Q16" i="20"/>
  <c r="O16" i="20"/>
  <c r="N16" i="20"/>
  <c r="M16" i="20"/>
  <c r="K16" i="20"/>
  <c r="X15" i="20"/>
  <c r="W15" i="20"/>
  <c r="V15" i="20"/>
  <c r="U15" i="20"/>
  <c r="T15" i="20"/>
  <c r="R15" i="20"/>
  <c r="Q15" i="20"/>
  <c r="P15" i="20"/>
  <c r="O15" i="20"/>
  <c r="N15" i="20"/>
  <c r="M15" i="20"/>
  <c r="L15" i="20"/>
  <c r="X14" i="20"/>
  <c r="W14" i="20"/>
  <c r="V14" i="20"/>
  <c r="U14" i="20"/>
  <c r="T14" i="20"/>
  <c r="S14" i="20"/>
  <c r="R14" i="20"/>
  <c r="Q14" i="20"/>
  <c r="P14" i="20"/>
  <c r="O14" i="20"/>
  <c r="N14" i="20"/>
  <c r="M14" i="20"/>
  <c r="L14" i="20"/>
  <c r="K14" i="20"/>
  <c r="D32" i="9"/>
  <c r="AA32" i="9" s="1"/>
  <c r="D31" i="9"/>
  <c r="AA31" i="9" s="1"/>
  <c r="D30" i="9"/>
  <c r="AA30" i="9" s="1"/>
  <c r="D29" i="9"/>
  <c r="AA29" i="9" s="1"/>
  <c r="D28" i="9"/>
  <c r="AA28" i="9" s="1"/>
  <c r="D27" i="9"/>
  <c r="AA27" i="9" s="1"/>
  <c r="Y23" i="9"/>
  <c r="X23" i="9"/>
  <c r="W23" i="9"/>
  <c r="V23" i="9"/>
  <c r="U23" i="9"/>
  <c r="T23" i="9"/>
  <c r="S23" i="9"/>
  <c r="R23" i="9"/>
  <c r="Q23" i="9"/>
  <c r="P23" i="9"/>
  <c r="O23" i="9"/>
  <c r="N23" i="9"/>
  <c r="M23" i="9"/>
  <c r="L23" i="9"/>
  <c r="K23" i="9"/>
  <c r="J23" i="9"/>
  <c r="I23" i="9"/>
  <c r="H23" i="9"/>
  <c r="G23" i="9"/>
  <c r="F23" i="9"/>
  <c r="E23" i="9"/>
  <c r="N21" i="9"/>
  <c r="D21" i="9"/>
  <c r="C21" i="9"/>
  <c r="C103" i="9" s="1"/>
  <c r="B30" i="20" s="1"/>
  <c r="C19" i="9"/>
  <c r="N18" i="9"/>
  <c r="M18" i="9"/>
  <c r="F18" i="9"/>
  <c r="E18" i="9"/>
  <c r="D18" i="9"/>
  <c r="C18" i="9"/>
  <c r="N17" i="9"/>
  <c r="M17" i="9"/>
  <c r="F17" i="9"/>
  <c r="E17" i="9"/>
  <c r="D17" i="9"/>
  <c r="D43" i="9" s="1"/>
  <c r="C17" i="20" s="1"/>
  <c r="C17" i="9"/>
  <c r="N16" i="9"/>
  <c r="M16" i="9"/>
  <c r="F16" i="9"/>
  <c r="D16" i="9"/>
  <c r="D42" i="9" s="1"/>
  <c r="C16" i="20" s="1"/>
  <c r="C16" i="9"/>
  <c r="N15" i="9"/>
  <c r="M15" i="9"/>
  <c r="F15" i="9"/>
  <c r="E15" i="9"/>
  <c r="D15" i="9"/>
  <c r="C15" i="9"/>
  <c r="N14" i="9"/>
  <c r="N19" i="9" s="1"/>
  <c r="M14" i="9"/>
  <c r="F14" i="9"/>
  <c r="E14" i="9"/>
  <c r="D14" i="9"/>
  <c r="C14" i="9"/>
  <c r="C12" i="9"/>
  <c r="N11" i="9"/>
  <c r="E157" i="9" s="1"/>
  <c r="M11" i="9"/>
  <c r="E142" i="9" s="1"/>
  <c r="F11" i="9"/>
  <c r="E11" i="9"/>
  <c r="D11" i="9"/>
  <c r="C11" i="9"/>
  <c r="C67" i="9" s="1"/>
  <c r="N10" i="9"/>
  <c r="E156" i="9" s="1"/>
  <c r="M10" i="9"/>
  <c r="E141" i="9" s="1"/>
  <c r="F10" i="9"/>
  <c r="E10" i="9"/>
  <c r="D10" i="9"/>
  <c r="C10" i="9"/>
  <c r="N9" i="9"/>
  <c r="E155" i="9" s="1"/>
  <c r="M9" i="9"/>
  <c r="E140" i="9" s="1"/>
  <c r="F9" i="9"/>
  <c r="E9" i="9"/>
  <c r="D9" i="9"/>
  <c r="D37" i="9" s="1"/>
  <c r="C9" i="9"/>
  <c r="N7" i="9"/>
  <c r="M7" i="9"/>
  <c r="L7" i="9"/>
  <c r="C124" i="9" s="1"/>
  <c r="K7" i="9"/>
  <c r="C109" i="9" s="1"/>
  <c r="J7" i="9"/>
  <c r="C94" i="9" s="1"/>
  <c r="I7" i="9"/>
  <c r="C79" i="9" s="1"/>
  <c r="H7" i="9"/>
  <c r="C64" i="9" s="1"/>
  <c r="G7" i="9"/>
  <c r="C36" i="9" s="1"/>
  <c r="B10" i="20" s="1"/>
  <c r="X43" i="20"/>
  <c r="X8" i="20" s="1"/>
  <c r="W43" i="20"/>
  <c r="W8" i="20" s="1"/>
  <c r="V43" i="20"/>
  <c r="V8" i="20" s="1"/>
  <c r="U43" i="20"/>
  <c r="U8" i="20" s="1"/>
  <c r="T43" i="20"/>
  <c r="T8" i="20" s="1"/>
  <c r="S43" i="20"/>
  <c r="S8" i="20" s="1"/>
  <c r="R43" i="20"/>
  <c r="R8" i="20" s="1"/>
  <c r="Q43" i="20"/>
  <c r="P43" i="20"/>
  <c r="O43" i="20"/>
  <c r="O8" i="20" s="1"/>
  <c r="N43" i="20"/>
  <c r="N8" i="20" s="1"/>
  <c r="M43" i="20"/>
  <c r="M8" i="20" s="1"/>
  <c r="L43" i="20"/>
  <c r="K43" i="20"/>
  <c r="J43" i="20"/>
  <c r="J8" i="20" s="1"/>
  <c r="I43" i="20"/>
  <c r="I8" i="20" s="1"/>
  <c r="H43" i="20"/>
  <c r="H8" i="20" s="1"/>
  <c r="G43" i="20"/>
  <c r="G8" i="20" s="1"/>
  <c r="F43" i="20"/>
  <c r="F8" i="20" s="1"/>
  <c r="E43" i="20"/>
  <c r="E8" i="20" s="1"/>
  <c r="D43" i="20"/>
  <c r="D8" i="20" s="1"/>
  <c r="Y42" i="20"/>
  <c r="B42" i="20"/>
  <c r="Y41" i="20"/>
  <c r="Y40" i="20"/>
  <c r="Y39" i="20"/>
  <c r="Y38" i="20"/>
  <c r="Y37" i="20"/>
  <c r="Y36" i="20"/>
  <c r="Y35" i="20"/>
  <c r="Y34" i="20"/>
  <c r="X21" i="20"/>
  <c r="W21" i="20"/>
  <c r="V21" i="20"/>
  <c r="U21" i="20"/>
  <c r="T21" i="20"/>
  <c r="S21" i="20"/>
  <c r="R21" i="20"/>
  <c r="Q21" i="20"/>
  <c r="P21" i="20"/>
  <c r="O21" i="20"/>
  <c r="N21" i="20"/>
  <c r="M21" i="20"/>
  <c r="L21" i="20"/>
  <c r="K21" i="20"/>
  <c r="J21" i="20"/>
  <c r="I21" i="20"/>
  <c r="H21" i="20"/>
  <c r="G21" i="20"/>
  <c r="F21" i="20"/>
  <c r="E21" i="20"/>
  <c r="D21" i="20"/>
  <c r="C19" i="20"/>
  <c r="D18" i="20"/>
  <c r="D17" i="20"/>
  <c r="D16" i="20"/>
  <c r="D15" i="20"/>
  <c r="D14" i="20"/>
  <c r="X13" i="20"/>
  <c r="W13" i="20"/>
  <c r="V13" i="20"/>
  <c r="U13" i="20"/>
  <c r="T13" i="20"/>
  <c r="S13" i="20"/>
  <c r="R13" i="20"/>
  <c r="Q13" i="20"/>
  <c r="P13" i="20"/>
  <c r="O13" i="20"/>
  <c r="N13" i="20"/>
  <c r="M13" i="20"/>
  <c r="L13" i="20"/>
  <c r="K13" i="20"/>
  <c r="J13" i="20"/>
  <c r="I13" i="20"/>
  <c r="H13" i="20"/>
  <c r="G13" i="20"/>
  <c r="F13" i="20"/>
  <c r="E13" i="20"/>
  <c r="X12" i="20"/>
  <c r="W12" i="20"/>
  <c r="V12" i="20"/>
  <c r="U12" i="20"/>
  <c r="T12" i="20"/>
  <c r="S12" i="20"/>
  <c r="R12" i="20"/>
  <c r="Q12" i="20"/>
  <c r="P12" i="20"/>
  <c r="O12" i="20"/>
  <c r="N12" i="20"/>
  <c r="M12" i="20"/>
  <c r="L12" i="20"/>
  <c r="K12" i="20"/>
  <c r="J12" i="20"/>
  <c r="I12" i="20"/>
  <c r="H12" i="20"/>
  <c r="G12" i="20"/>
  <c r="F12" i="20"/>
  <c r="E12" i="20"/>
  <c r="Y11" i="20"/>
  <c r="X11" i="20"/>
  <c r="W11" i="20"/>
  <c r="V11" i="20"/>
  <c r="U11" i="20"/>
  <c r="T11" i="20"/>
  <c r="S11" i="20"/>
  <c r="R11" i="20"/>
  <c r="Q11" i="20"/>
  <c r="P11" i="20"/>
  <c r="O11" i="20"/>
  <c r="N11" i="20"/>
  <c r="M11" i="20"/>
  <c r="L11" i="20"/>
  <c r="K11" i="20"/>
  <c r="J11" i="20"/>
  <c r="I11" i="20"/>
  <c r="H11" i="20"/>
  <c r="G11" i="20"/>
  <c r="F11" i="20"/>
  <c r="E11" i="20"/>
  <c r="X10" i="20"/>
  <c r="W10" i="20"/>
  <c r="V10" i="20"/>
  <c r="U10" i="20"/>
  <c r="T10" i="20"/>
  <c r="S10" i="20"/>
  <c r="R10" i="20"/>
  <c r="Q10" i="20"/>
  <c r="P10" i="20"/>
  <c r="O10" i="20"/>
  <c r="N10" i="20"/>
  <c r="M10" i="20"/>
  <c r="L10" i="20"/>
  <c r="K10" i="20"/>
  <c r="J10" i="20"/>
  <c r="I10" i="20"/>
  <c r="H10" i="20"/>
  <c r="G10" i="20"/>
  <c r="F10" i="20"/>
  <c r="E10" i="20"/>
  <c r="D10" i="20"/>
  <c r="Q8" i="20"/>
  <c r="P8" i="20"/>
  <c r="L8" i="20"/>
  <c r="K8" i="20"/>
  <c r="B5" i="20"/>
  <c r="J23" i="26"/>
  <c r="I23" i="26"/>
  <c r="H23" i="26"/>
  <c r="G23" i="26"/>
  <c r="J16" i="26"/>
  <c r="I16" i="26"/>
  <c r="H16" i="26"/>
  <c r="G16" i="26"/>
  <c r="M21" i="9"/>
  <c r="J23" i="25"/>
  <c r="I23" i="25"/>
  <c r="H23" i="25"/>
  <c r="G23" i="25"/>
  <c r="J16" i="25"/>
  <c r="I16" i="25"/>
  <c r="H16" i="25"/>
  <c r="G16" i="25"/>
  <c r="E25" i="14"/>
  <c r="F25" i="14" s="1"/>
  <c r="L21" i="9" s="1"/>
  <c r="J23" i="14"/>
  <c r="I23" i="14"/>
  <c r="H23" i="14"/>
  <c r="G23" i="14"/>
  <c r="F22" i="14"/>
  <c r="L18" i="9" s="1"/>
  <c r="F21" i="14"/>
  <c r="L17" i="9" s="1"/>
  <c r="D20" i="14"/>
  <c r="F20" i="14" s="1"/>
  <c r="L16" i="9" s="1"/>
  <c r="E19" i="14"/>
  <c r="F19" i="14" s="1"/>
  <c r="L15" i="9" s="1"/>
  <c r="E18" i="14"/>
  <c r="F18" i="14" s="1"/>
  <c r="J16" i="14"/>
  <c r="I16" i="14"/>
  <c r="H16" i="14"/>
  <c r="G16" i="14"/>
  <c r="F15" i="14"/>
  <c r="L11" i="9" s="1"/>
  <c r="E127" i="9" s="1"/>
  <c r="F14" i="14"/>
  <c r="L10" i="9" s="1"/>
  <c r="E126" i="9" s="1"/>
  <c r="F13" i="14"/>
  <c r="L9" i="9" s="1"/>
  <c r="F25" i="13"/>
  <c r="K21" i="9" s="1"/>
  <c r="K118" i="9" s="1"/>
  <c r="J23" i="13"/>
  <c r="I23" i="13"/>
  <c r="H23" i="13"/>
  <c r="G23" i="13"/>
  <c r="F22" i="13"/>
  <c r="K18" i="9" s="1"/>
  <c r="F21" i="13"/>
  <c r="K17" i="9" s="1"/>
  <c r="F20" i="13"/>
  <c r="K16" i="9" s="1"/>
  <c r="F19" i="13"/>
  <c r="K15" i="9" s="1"/>
  <c r="F18" i="13"/>
  <c r="K14" i="9" s="1"/>
  <c r="J16" i="13"/>
  <c r="I16" i="13"/>
  <c r="H16" i="13"/>
  <c r="G16" i="13"/>
  <c r="F15" i="13"/>
  <c r="K11" i="9" s="1"/>
  <c r="E112" i="9" s="1"/>
  <c r="F14" i="13"/>
  <c r="K10" i="9" s="1"/>
  <c r="E111" i="9" s="1"/>
  <c r="F13" i="13"/>
  <c r="K9" i="9" s="1"/>
  <c r="F25" i="12"/>
  <c r="J21" i="9" s="1"/>
  <c r="K103" i="9" s="1"/>
  <c r="K106" i="9" s="1"/>
  <c r="J23" i="12"/>
  <c r="I23" i="12"/>
  <c r="H23" i="12"/>
  <c r="G23" i="12"/>
  <c r="F22" i="12"/>
  <c r="J18" i="9" s="1"/>
  <c r="F21" i="12"/>
  <c r="J17" i="9" s="1"/>
  <c r="F20" i="12"/>
  <c r="J16" i="9" s="1"/>
  <c r="F19" i="12"/>
  <c r="J15" i="9" s="1"/>
  <c r="F18" i="12"/>
  <c r="J14" i="9" s="1"/>
  <c r="J16" i="12"/>
  <c r="I16" i="12"/>
  <c r="H16" i="12"/>
  <c r="G16" i="12"/>
  <c r="F15" i="12"/>
  <c r="J11" i="9" s="1"/>
  <c r="E97" i="9" s="1"/>
  <c r="F14" i="12"/>
  <c r="J10" i="9" s="1"/>
  <c r="E96" i="9" s="1"/>
  <c r="F13" i="12"/>
  <c r="J9" i="9" s="1"/>
  <c r="E95" i="9" s="1"/>
  <c r="F25" i="11"/>
  <c r="I21" i="9" s="1"/>
  <c r="K88" i="9" s="1"/>
  <c r="J23" i="11"/>
  <c r="I23" i="11"/>
  <c r="H23" i="11"/>
  <c r="G23" i="11"/>
  <c r="F22" i="11"/>
  <c r="I18" i="9" s="1"/>
  <c r="F21" i="11"/>
  <c r="I17" i="9" s="1"/>
  <c r="D20" i="11"/>
  <c r="F20" i="11" s="1"/>
  <c r="I16" i="9" s="1"/>
  <c r="F19" i="11"/>
  <c r="I15" i="9" s="1"/>
  <c r="F18" i="11"/>
  <c r="I14" i="9" s="1"/>
  <c r="J16" i="11"/>
  <c r="I16" i="11"/>
  <c r="H16" i="11"/>
  <c r="G16" i="11"/>
  <c r="F15" i="11"/>
  <c r="I11" i="9" s="1"/>
  <c r="E82" i="9" s="1"/>
  <c r="F14" i="11"/>
  <c r="I10" i="9" s="1"/>
  <c r="E81" i="9" s="1"/>
  <c r="F13" i="11"/>
  <c r="I9" i="9" s="1"/>
  <c r="F25" i="10"/>
  <c r="H21" i="9" s="1"/>
  <c r="J23" i="10"/>
  <c r="I23" i="10"/>
  <c r="H23" i="10"/>
  <c r="G23" i="10"/>
  <c r="F22" i="10"/>
  <c r="H18" i="9" s="1"/>
  <c r="F21" i="10"/>
  <c r="H17" i="9" s="1"/>
  <c r="F20" i="10"/>
  <c r="H16" i="9" s="1"/>
  <c r="F19" i="10"/>
  <c r="H15" i="9" s="1"/>
  <c r="F18" i="10"/>
  <c r="H14" i="9" s="1"/>
  <c r="J16" i="10"/>
  <c r="I16" i="10"/>
  <c r="H16" i="10"/>
  <c r="G16" i="10"/>
  <c r="F15" i="10"/>
  <c r="H11" i="9" s="1"/>
  <c r="E67" i="9" s="1"/>
  <c r="H10" i="9"/>
  <c r="E66" i="9" s="1"/>
  <c r="F13" i="10"/>
  <c r="H9" i="9" s="1"/>
  <c r="C66" i="18"/>
  <c r="B66" i="18"/>
  <c r="C65" i="18"/>
  <c r="B65" i="18"/>
  <c r="X62" i="18"/>
  <c r="W62" i="18"/>
  <c r="V62" i="18"/>
  <c r="U62" i="18"/>
  <c r="T62" i="18"/>
  <c r="S62" i="18"/>
  <c r="R62" i="18"/>
  <c r="Q62" i="18"/>
  <c r="P62" i="18"/>
  <c r="O62" i="18"/>
  <c r="N62" i="18"/>
  <c r="M62" i="18"/>
  <c r="L62" i="18"/>
  <c r="K62" i="18"/>
  <c r="J62" i="18"/>
  <c r="I62" i="18"/>
  <c r="H62" i="18"/>
  <c r="G62" i="18"/>
  <c r="F62" i="18"/>
  <c r="D62" i="18"/>
  <c r="D55" i="18" s="1"/>
  <c r="C58" i="18"/>
  <c r="B58" i="18"/>
  <c r="C57" i="18"/>
  <c r="B57" i="18"/>
  <c r="C56" i="18"/>
  <c r="B56" i="18"/>
  <c r="C55" i="18"/>
  <c r="B55" i="18"/>
  <c r="C54" i="18"/>
  <c r="B54" i="18"/>
  <c r="C53" i="18"/>
  <c r="B53" i="18"/>
  <c r="C52" i="18"/>
  <c r="B52" i="18"/>
  <c r="C51" i="18"/>
  <c r="B51" i="18"/>
  <c r="C50" i="18"/>
  <c r="B50" i="18"/>
  <c r="C45" i="18"/>
  <c r="B45" i="18"/>
  <c r="C44" i="18"/>
  <c r="B44" i="18"/>
  <c r="C43" i="18"/>
  <c r="B43" i="18"/>
  <c r="C42" i="18"/>
  <c r="B42" i="18"/>
  <c r="C41" i="18"/>
  <c r="B41" i="18"/>
  <c r="C40" i="18"/>
  <c r="B40" i="18"/>
  <c r="C39" i="18"/>
  <c r="B39" i="18"/>
  <c r="C38" i="18"/>
  <c r="B38" i="18"/>
  <c r="C37" i="18"/>
  <c r="B37" i="18"/>
  <c r="C25" i="18"/>
  <c r="D22" i="18"/>
  <c r="F22" i="18" s="1"/>
  <c r="C22" i="18"/>
  <c r="E21" i="18"/>
  <c r="D21" i="18"/>
  <c r="C21" i="18"/>
  <c r="E20" i="18"/>
  <c r="C20" i="18"/>
  <c r="E19" i="18"/>
  <c r="D19" i="18"/>
  <c r="C19" i="18"/>
  <c r="E18" i="18"/>
  <c r="D18" i="18"/>
  <c r="C18" i="18"/>
  <c r="E15" i="18"/>
  <c r="D15" i="18"/>
  <c r="C15" i="18"/>
  <c r="E14" i="18"/>
  <c r="D14" i="18"/>
  <c r="C14" i="18"/>
  <c r="D13" i="18"/>
  <c r="F13" i="18" s="1"/>
  <c r="C4" i="18"/>
  <c r="C37" i="2"/>
  <c r="C36" i="2"/>
  <c r="C35" i="2"/>
  <c r="C34" i="2"/>
  <c r="F24" i="2"/>
  <c r="E21" i="9" s="1"/>
  <c r="H21" i="2"/>
  <c r="G18" i="9" s="1"/>
  <c r="H20" i="2"/>
  <c r="G17" i="9" s="1"/>
  <c r="F19" i="2"/>
  <c r="H18" i="2"/>
  <c r="G15" i="9" s="1"/>
  <c r="H17" i="2"/>
  <c r="H14" i="2"/>
  <c r="G11" i="9" s="1"/>
  <c r="E39" i="9" s="1"/>
  <c r="H13" i="2"/>
  <c r="G10" i="9" s="1"/>
  <c r="E38" i="9" s="1"/>
  <c r="H12" i="2"/>
  <c r="C43" i="20" l="1"/>
  <c r="F16" i="12"/>
  <c r="I44" i="18"/>
  <c r="J44" i="18"/>
  <c r="H44" i="18"/>
  <c r="E44" i="18"/>
  <c r="F44" i="18"/>
  <c r="G44" i="18"/>
  <c r="E164" i="9"/>
  <c r="E165" i="9" s="1"/>
  <c r="E34" i="9" s="1"/>
  <c r="I121" i="9"/>
  <c r="Y106" i="9"/>
  <c r="D53" i="18"/>
  <c r="M58" i="18"/>
  <c r="L54" i="18"/>
  <c r="P54" i="18"/>
  <c r="T54" i="18"/>
  <c r="X54" i="18"/>
  <c r="L55" i="18"/>
  <c r="P55" i="18"/>
  <c r="T55" i="18"/>
  <c r="X55" i="18"/>
  <c r="L56" i="18"/>
  <c r="P56" i="18"/>
  <c r="T56" i="18"/>
  <c r="X56" i="18"/>
  <c r="L57" i="18"/>
  <c r="P57" i="18"/>
  <c r="T57" i="18"/>
  <c r="X57" i="18"/>
  <c r="D56" i="18"/>
  <c r="F19" i="18"/>
  <c r="C45" i="9"/>
  <c r="C148" i="9" s="1"/>
  <c r="M53" i="18"/>
  <c r="Q53" i="18"/>
  <c r="U53" i="18"/>
  <c r="M54" i="18"/>
  <c r="Q54" i="18"/>
  <c r="U54" i="18"/>
  <c r="Q55" i="18"/>
  <c r="M56" i="18"/>
  <c r="Q56" i="18"/>
  <c r="U56" i="18"/>
  <c r="M57" i="18"/>
  <c r="Q57" i="18"/>
  <c r="U57" i="18"/>
  <c r="Q58" i="18"/>
  <c r="U58" i="18"/>
  <c r="H58" i="18"/>
  <c r="G151" i="9"/>
  <c r="S151" i="9"/>
  <c r="W151" i="9"/>
  <c r="N89" i="9"/>
  <c r="N90" i="9" s="1"/>
  <c r="R89" i="9"/>
  <c r="R90" i="9" s="1"/>
  <c r="V89" i="9"/>
  <c r="V90" i="9" s="1"/>
  <c r="T119" i="9"/>
  <c r="T120" i="9" s="1"/>
  <c r="L91" i="9"/>
  <c r="P91" i="9"/>
  <c r="T91" i="9"/>
  <c r="X91" i="9"/>
  <c r="Q53" i="9"/>
  <c r="N12" i="9"/>
  <c r="F18" i="18"/>
  <c r="E16" i="9"/>
  <c r="H19" i="2"/>
  <c r="G16" i="9" s="1"/>
  <c r="F20" i="18"/>
  <c r="F21" i="18"/>
  <c r="D25" i="18"/>
  <c r="N53" i="18"/>
  <c r="R53" i="18"/>
  <c r="V53" i="18"/>
  <c r="N54" i="18"/>
  <c r="R54" i="18"/>
  <c r="V54" i="18"/>
  <c r="N55" i="18"/>
  <c r="R55" i="18"/>
  <c r="V55" i="18"/>
  <c r="N56" i="18"/>
  <c r="R56" i="18"/>
  <c r="V56" i="18"/>
  <c r="N57" i="18"/>
  <c r="R57" i="18"/>
  <c r="V57" i="18"/>
  <c r="R58" i="18"/>
  <c r="V58" i="18"/>
  <c r="F58" i="18"/>
  <c r="F16" i="11"/>
  <c r="H24" i="2"/>
  <c r="G21" i="9" s="1"/>
  <c r="F14" i="18"/>
  <c r="D38" i="18" s="1"/>
  <c r="Y38" i="18" s="1"/>
  <c r="S54" i="18"/>
  <c r="K55" i="18"/>
  <c r="O55" i="18"/>
  <c r="S55" i="18"/>
  <c r="W55" i="18"/>
  <c r="K57" i="18"/>
  <c r="O57" i="18"/>
  <c r="S57" i="18"/>
  <c r="W57" i="18"/>
  <c r="D57" i="18"/>
  <c r="E149" i="9"/>
  <c r="E150" i="9" s="1"/>
  <c r="E33" i="9" s="1"/>
  <c r="M12" i="9"/>
  <c r="L54" i="9"/>
  <c r="P54" i="9"/>
  <c r="T54" i="9"/>
  <c r="X54" i="9"/>
  <c r="K15" i="20"/>
  <c r="S15" i="20"/>
  <c r="O46" i="9"/>
  <c r="O56" i="18"/>
  <c r="N164" i="9"/>
  <c r="N165" i="9" s="1"/>
  <c r="R164" i="9"/>
  <c r="R165" i="9" s="1"/>
  <c r="V164" i="9"/>
  <c r="V165" i="9" s="1"/>
  <c r="T134" i="9"/>
  <c r="T135" i="9" s="1"/>
  <c r="V149" i="9"/>
  <c r="V150" i="9" s="1"/>
  <c r="K54" i="18"/>
  <c r="S56" i="18"/>
  <c r="W54" i="18"/>
  <c r="M89" i="9"/>
  <c r="M90" i="9" s="1"/>
  <c r="M29" i="9" s="1"/>
  <c r="M92" i="9" s="1"/>
  <c r="Q89" i="9"/>
  <c r="Q90" i="9" s="1"/>
  <c r="Q29" i="9" s="1"/>
  <c r="Q92" i="9" s="1"/>
  <c r="U89" i="9"/>
  <c r="Y89" i="9"/>
  <c r="O119" i="9"/>
  <c r="O120" i="9" s="1"/>
  <c r="S119" i="9"/>
  <c r="S120" i="9" s="1"/>
  <c r="W119" i="9"/>
  <c r="W120" i="9" s="1"/>
  <c r="M134" i="9"/>
  <c r="M135" i="9" s="1"/>
  <c r="Q134" i="9"/>
  <c r="Q135" i="9" s="1"/>
  <c r="U134" i="9"/>
  <c r="U135" i="9" s="1"/>
  <c r="Y134" i="9"/>
  <c r="Y135" i="9" s="1"/>
  <c r="R149" i="9"/>
  <c r="R150" i="9" s="1"/>
  <c r="E91" i="9"/>
  <c r="M91" i="9"/>
  <c r="U91" i="9"/>
  <c r="O89" i="9"/>
  <c r="O90" i="9" s="1"/>
  <c r="S89" i="9"/>
  <c r="S90" i="9" s="1"/>
  <c r="W89" i="9"/>
  <c r="W90" i="9" s="1"/>
  <c r="W29" i="9" s="1"/>
  <c r="W92" i="9" s="1"/>
  <c r="L104" i="9"/>
  <c r="P104" i="9"/>
  <c r="P105" i="9" s="1"/>
  <c r="T104" i="9"/>
  <c r="T105" i="9" s="1"/>
  <c r="T30" i="9" s="1"/>
  <c r="T107" i="9" s="1"/>
  <c r="X104" i="9"/>
  <c r="X105" i="9" s="1"/>
  <c r="X30" i="9" s="1"/>
  <c r="X107" i="9" s="1"/>
  <c r="V134" i="9"/>
  <c r="V135" i="9" s="1"/>
  <c r="P134" i="9"/>
  <c r="P135" i="9" s="1"/>
  <c r="X134" i="9"/>
  <c r="X135" i="9" s="1"/>
  <c r="N149" i="9"/>
  <c r="N150" i="9" s="1"/>
  <c r="H91" i="9"/>
  <c r="L46" i="18"/>
  <c r="L47" i="18" s="1"/>
  <c r="P46" i="18"/>
  <c r="P47" i="18" s="1"/>
  <c r="T46" i="18"/>
  <c r="T47" i="18" s="1"/>
  <c r="X46" i="18"/>
  <c r="X59" i="18" s="1"/>
  <c r="E104" i="9"/>
  <c r="E105" i="9" s="1"/>
  <c r="E30" i="9" s="1"/>
  <c r="V106" i="9"/>
  <c r="L89" i="9"/>
  <c r="L90" i="9" s="1"/>
  <c r="L29" i="9" s="1"/>
  <c r="L92" i="9" s="1"/>
  <c r="P89" i="9"/>
  <c r="P90" i="9" s="1"/>
  <c r="T89" i="9"/>
  <c r="T90" i="9" s="1"/>
  <c r="T29" i="9" s="1"/>
  <c r="T92" i="9" s="1"/>
  <c r="X89" i="9"/>
  <c r="X90" i="9" s="1"/>
  <c r="X29" i="9" s="1"/>
  <c r="X92" i="9" s="1"/>
  <c r="M104" i="9"/>
  <c r="M105" i="9" s="1"/>
  <c r="M30" i="9" s="1"/>
  <c r="M107" i="9" s="1"/>
  <c r="Q104" i="9"/>
  <c r="Q105" i="9" s="1"/>
  <c r="Q30" i="9" s="1"/>
  <c r="Q107" i="9" s="1"/>
  <c r="U104" i="9"/>
  <c r="U105" i="9" s="1"/>
  <c r="Y104" i="9"/>
  <c r="Y105" i="9" s="1"/>
  <c r="Y30" i="9" s="1"/>
  <c r="Y107" i="9" s="1"/>
  <c r="N119" i="9"/>
  <c r="N120" i="9" s="1"/>
  <c r="R119" i="9"/>
  <c r="R120" i="9" s="1"/>
  <c r="V119" i="9"/>
  <c r="V120" i="9" s="1"/>
  <c r="L119" i="9"/>
  <c r="L120" i="9" s="1"/>
  <c r="P119" i="9"/>
  <c r="P120" i="9" s="1"/>
  <c r="X119" i="9"/>
  <c r="X120" i="9" s="1"/>
  <c r="O134" i="9"/>
  <c r="O135" i="9" s="1"/>
  <c r="S134" i="9"/>
  <c r="S135" i="9" s="1"/>
  <c r="W134" i="9"/>
  <c r="W135" i="9" s="1"/>
  <c r="M149" i="9"/>
  <c r="M150" i="9" s="1"/>
  <c r="Q149" i="9"/>
  <c r="Q150" i="9" s="1"/>
  <c r="U149" i="9"/>
  <c r="U150" i="9" s="1"/>
  <c r="Y149" i="9"/>
  <c r="Y150" i="9" s="1"/>
  <c r="M164" i="9"/>
  <c r="M165" i="9" s="1"/>
  <c r="Q164" i="9"/>
  <c r="Q165" i="9" s="1"/>
  <c r="U164" i="9"/>
  <c r="U165" i="9" s="1"/>
  <c r="Y164" i="9"/>
  <c r="Y165" i="9" s="1"/>
  <c r="H19" i="9"/>
  <c r="N74" i="9"/>
  <c r="N75" i="9" s="1"/>
  <c r="R74" i="9"/>
  <c r="R75" i="9" s="1"/>
  <c r="V74" i="9"/>
  <c r="V75" i="9" s="1"/>
  <c r="L74" i="9"/>
  <c r="L75" i="9" s="1"/>
  <c r="L28" i="9" s="1"/>
  <c r="L77" i="9" s="1"/>
  <c r="P74" i="9"/>
  <c r="P75" i="9" s="1"/>
  <c r="P28" i="9" s="1"/>
  <c r="T74" i="9"/>
  <c r="T75" i="9" s="1"/>
  <c r="T28" i="9" s="1"/>
  <c r="T77" i="9" s="1"/>
  <c r="X74" i="9"/>
  <c r="X75" i="9" s="1"/>
  <c r="X28" i="9" s="1"/>
  <c r="O74" i="9"/>
  <c r="O75" i="9" s="1"/>
  <c r="S74" i="9"/>
  <c r="S75" i="9" s="1"/>
  <c r="W74" i="9"/>
  <c r="W75" i="9" s="1"/>
  <c r="W28" i="9" s="1"/>
  <c r="H15" i="2"/>
  <c r="F15" i="18"/>
  <c r="D39" i="18" s="1"/>
  <c r="D52" i="18" s="1"/>
  <c r="Y52" i="18" s="1"/>
  <c r="O58" i="18"/>
  <c r="S58" i="18"/>
  <c r="W58" i="18"/>
  <c r="L58" i="18"/>
  <c r="P58" i="18"/>
  <c r="T58" i="18"/>
  <c r="X58" i="18"/>
  <c r="D54" i="18"/>
  <c r="K56" i="18"/>
  <c r="R57" i="9"/>
  <c r="H76" i="9"/>
  <c r="L105" i="9"/>
  <c r="L30" i="9" s="1"/>
  <c r="L107" i="9" s="1"/>
  <c r="M58" i="9"/>
  <c r="Q58" i="9"/>
  <c r="U58" i="9"/>
  <c r="U53" i="9"/>
  <c r="Q54" i="9"/>
  <c r="Q56" i="9"/>
  <c r="Y58" i="9"/>
  <c r="U90" i="9"/>
  <c r="U29" i="9" s="1"/>
  <c r="U92" i="9" s="1"/>
  <c r="Y90" i="9"/>
  <c r="Y29" i="9" s="1"/>
  <c r="Y92" i="9" s="1"/>
  <c r="Q91" i="9"/>
  <c r="O106" i="9"/>
  <c r="S106" i="9"/>
  <c r="W106" i="9"/>
  <c r="E58" i="18"/>
  <c r="I58" i="18"/>
  <c r="O54" i="18"/>
  <c r="W56" i="18"/>
  <c r="O54" i="9"/>
  <c r="S54" i="9"/>
  <c r="W54" i="9"/>
  <c r="M56" i="9"/>
  <c r="U56" i="9"/>
  <c r="O57" i="9"/>
  <c r="S57" i="9"/>
  <c r="W57" i="9"/>
  <c r="E58" i="9"/>
  <c r="I58" i="9"/>
  <c r="E53" i="9"/>
  <c r="Y53" i="9"/>
  <c r="U54" i="9"/>
  <c r="Y56" i="9"/>
  <c r="E76" i="9"/>
  <c r="I76" i="9"/>
  <c r="P76" i="9"/>
  <c r="G106" i="9"/>
  <c r="M53" i="9"/>
  <c r="E54" i="9"/>
  <c r="Y54" i="9"/>
  <c r="Q57" i="9"/>
  <c r="G58" i="18"/>
  <c r="M57" i="9"/>
  <c r="U57" i="9"/>
  <c r="M54" i="9"/>
  <c r="E55" i="9"/>
  <c r="Y57" i="9"/>
  <c r="G91" i="9"/>
  <c r="M121" i="9"/>
  <c r="Q121" i="9"/>
  <c r="U121" i="9"/>
  <c r="Y121" i="9"/>
  <c r="R46" i="9"/>
  <c r="R47" i="9" s="1"/>
  <c r="O46" i="18"/>
  <c r="O59" i="18" s="1"/>
  <c r="S46" i="18"/>
  <c r="S47" i="18" s="1"/>
  <c r="W46" i="18"/>
  <c r="W59" i="18" s="1"/>
  <c r="Y8" i="20"/>
  <c r="U46" i="18"/>
  <c r="U59" i="18" s="1"/>
  <c r="M46" i="18"/>
  <c r="M47" i="18" s="1"/>
  <c r="E65" i="9"/>
  <c r="E74" i="9" s="1"/>
  <c r="E75" i="9" s="1"/>
  <c r="H12" i="9"/>
  <c r="E28" i="9" s="1"/>
  <c r="J19" i="9"/>
  <c r="D37" i="18"/>
  <c r="Z38" i="9"/>
  <c r="Y12" i="20" s="1"/>
  <c r="D12" i="20"/>
  <c r="E51" i="9"/>
  <c r="Z51" i="9" s="1"/>
  <c r="K19" i="9"/>
  <c r="E52" i="9"/>
  <c r="Z52" i="9" s="1"/>
  <c r="D13" i="20"/>
  <c r="Z39" i="9"/>
  <c r="Y13" i="20" s="1"/>
  <c r="E110" i="9"/>
  <c r="E119" i="9" s="1"/>
  <c r="E120" i="9" s="1"/>
  <c r="K12" i="9"/>
  <c r="L14" i="9"/>
  <c r="F23" i="14"/>
  <c r="D140" i="9"/>
  <c r="D125" i="9"/>
  <c r="D155" i="9"/>
  <c r="D50" i="9"/>
  <c r="C11" i="20"/>
  <c r="S53" i="18"/>
  <c r="P16" i="20"/>
  <c r="Q55" i="9"/>
  <c r="C24" i="23"/>
  <c r="C16" i="23"/>
  <c r="C26" i="23"/>
  <c r="C18" i="23"/>
  <c r="E25" i="18"/>
  <c r="F25" i="18" s="1"/>
  <c r="R46" i="18"/>
  <c r="V46" i="18"/>
  <c r="L53" i="18"/>
  <c r="P53" i="18"/>
  <c r="T53" i="18"/>
  <c r="X53" i="18"/>
  <c r="D58" i="18"/>
  <c r="F16" i="10"/>
  <c r="E80" i="9"/>
  <c r="E89" i="9" s="1"/>
  <c r="E90" i="9" s="1"/>
  <c r="I12" i="9"/>
  <c r="F23" i="13"/>
  <c r="C155" i="9"/>
  <c r="C110" i="9"/>
  <c r="B110" i="9" s="1"/>
  <c r="C80" i="9"/>
  <c r="B80" i="9" s="1"/>
  <c r="C95" i="9"/>
  <c r="B95" i="9" s="1"/>
  <c r="C65" i="9"/>
  <c r="B65" i="9" s="1"/>
  <c r="C37" i="9"/>
  <c r="G9" i="9"/>
  <c r="C157" i="9"/>
  <c r="C112" i="9"/>
  <c r="B112" i="9" s="1"/>
  <c r="C82" i="9"/>
  <c r="B82" i="9" s="1"/>
  <c r="C97" i="9"/>
  <c r="C39" i="9"/>
  <c r="J12" i="9"/>
  <c r="C158" i="9"/>
  <c r="C113" i="9"/>
  <c r="B113" i="9" s="1"/>
  <c r="C83" i="9"/>
  <c r="B83" i="9" s="1"/>
  <c r="C98" i="9"/>
  <c r="B98" i="9" s="1"/>
  <c r="C68" i="9"/>
  <c r="B68" i="9" s="1"/>
  <c r="C40" i="9"/>
  <c r="G14" i="9"/>
  <c r="F151" i="9"/>
  <c r="F106" i="9"/>
  <c r="J151" i="9"/>
  <c r="J106" i="9"/>
  <c r="N151" i="9"/>
  <c r="N106" i="9"/>
  <c r="N54" i="9"/>
  <c r="R151" i="9"/>
  <c r="R106" i="9"/>
  <c r="R55" i="9"/>
  <c r="V151" i="9"/>
  <c r="V54" i="9"/>
  <c r="Q46" i="18"/>
  <c r="K53" i="18"/>
  <c r="O53" i="18"/>
  <c r="W53" i="18"/>
  <c r="D81" i="9"/>
  <c r="D111" i="9"/>
  <c r="D96" i="9"/>
  <c r="D66" i="9"/>
  <c r="D38" i="9"/>
  <c r="F21" i="9"/>
  <c r="M55" i="9"/>
  <c r="M46" i="9"/>
  <c r="L16" i="20"/>
  <c r="Y55" i="9"/>
  <c r="X16" i="20"/>
  <c r="M55" i="18"/>
  <c r="U55" i="18"/>
  <c r="F23" i="12"/>
  <c r="B67" i="9"/>
  <c r="D80" i="9"/>
  <c r="D95" i="9"/>
  <c r="D110" i="9"/>
  <c r="D65" i="9"/>
  <c r="D112" i="9"/>
  <c r="D82" i="9"/>
  <c r="D97" i="9"/>
  <c r="D67" i="9"/>
  <c r="D39" i="9"/>
  <c r="C159" i="9"/>
  <c r="C114" i="9"/>
  <c r="B114" i="9" s="1"/>
  <c r="C69" i="9"/>
  <c r="B69" i="9" s="1"/>
  <c r="C84" i="9"/>
  <c r="B84" i="9" s="1"/>
  <c r="C99" i="9"/>
  <c r="B99" i="9" s="1"/>
  <c r="C41" i="9"/>
  <c r="I19" i="9"/>
  <c r="N46" i="9"/>
  <c r="N53" i="9"/>
  <c r="V46" i="9"/>
  <c r="V53" i="9"/>
  <c r="D160" i="9"/>
  <c r="D145" i="9"/>
  <c r="D130" i="9"/>
  <c r="D55" i="9"/>
  <c r="J58" i="9"/>
  <c r="Q46" i="9"/>
  <c r="E125" i="9"/>
  <c r="E134" i="9" s="1"/>
  <c r="E135" i="9" s="1"/>
  <c r="L12" i="9"/>
  <c r="C162" i="9"/>
  <c r="C117" i="9"/>
  <c r="B117" i="9" s="1"/>
  <c r="C87" i="9"/>
  <c r="B87" i="9" s="1"/>
  <c r="C102" i="9"/>
  <c r="C72" i="9"/>
  <c r="B72" i="9" s="1"/>
  <c r="C44" i="9"/>
  <c r="U55" i="9"/>
  <c r="U46" i="9"/>
  <c r="T16" i="20"/>
  <c r="C15" i="23"/>
  <c r="C23" i="23"/>
  <c r="C17" i="23"/>
  <c r="C25" i="23"/>
  <c r="C19" i="23"/>
  <c r="C27" i="23"/>
  <c r="F23" i="10"/>
  <c r="F23" i="11"/>
  <c r="F16" i="13"/>
  <c r="F16" i="14"/>
  <c r="C156" i="9"/>
  <c r="C111" i="9"/>
  <c r="B111" i="9" s="1"/>
  <c r="C81" i="9"/>
  <c r="B81" i="9" s="1"/>
  <c r="C96" i="9"/>
  <c r="C38" i="9"/>
  <c r="C66" i="9"/>
  <c r="B66" i="9" s="1"/>
  <c r="C160" i="9"/>
  <c r="C115" i="9"/>
  <c r="B115" i="9" s="1"/>
  <c r="C100" i="9"/>
  <c r="C70" i="9"/>
  <c r="B70" i="9" s="1"/>
  <c r="C85" i="9"/>
  <c r="B85" i="9" s="1"/>
  <c r="C42" i="9"/>
  <c r="C161" i="9"/>
  <c r="C86" i="9"/>
  <c r="B86" i="9" s="1"/>
  <c r="C101" i="9"/>
  <c r="B101" i="9" s="1"/>
  <c r="C116" i="9"/>
  <c r="B116" i="9" s="1"/>
  <c r="C71" i="9"/>
  <c r="B71" i="9" s="1"/>
  <c r="C43" i="9"/>
  <c r="M19" i="9"/>
  <c r="Y46" i="9"/>
  <c r="R53" i="9"/>
  <c r="R54" i="9"/>
  <c r="R56" i="9"/>
  <c r="R58" i="9"/>
  <c r="O53" i="9"/>
  <c r="S46" i="9"/>
  <c r="S53" i="9"/>
  <c r="W46" i="9"/>
  <c r="W53" i="9"/>
  <c r="N55" i="9"/>
  <c r="V55" i="9"/>
  <c r="D146" i="9"/>
  <c r="D161" i="9"/>
  <c r="D131" i="9"/>
  <c r="D56" i="9"/>
  <c r="F58" i="9"/>
  <c r="N58" i="9"/>
  <c r="V58" i="9"/>
  <c r="L46" i="9"/>
  <c r="T46" i="9"/>
  <c r="N76" i="9"/>
  <c r="R76" i="9"/>
  <c r="V76" i="9"/>
  <c r="H121" i="9"/>
  <c r="C139" i="9"/>
  <c r="D33" i="9"/>
  <c r="AA33" i="9" s="1"/>
  <c r="D83" i="9"/>
  <c r="D98" i="9"/>
  <c r="D68" i="9"/>
  <c r="D40" i="9"/>
  <c r="D114" i="9"/>
  <c r="D84" i="9"/>
  <c r="D99" i="9"/>
  <c r="D69" i="9"/>
  <c r="D41" i="9"/>
  <c r="D115" i="9"/>
  <c r="D70" i="9"/>
  <c r="D85" i="9"/>
  <c r="D116" i="9"/>
  <c r="D101" i="9"/>
  <c r="D71" i="9"/>
  <c r="D86" i="9"/>
  <c r="O151" i="9"/>
  <c r="L53" i="9"/>
  <c r="P53" i="9"/>
  <c r="T53" i="9"/>
  <c r="X53" i="9"/>
  <c r="N57" i="9"/>
  <c r="V57" i="9"/>
  <c r="G58" i="9"/>
  <c r="S58" i="9"/>
  <c r="W58" i="9"/>
  <c r="M74" i="9"/>
  <c r="M75" i="9" s="1"/>
  <c r="Q74" i="9"/>
  <c r="Q75" i="9" s="1"/>
  <c r="U74" i="9"/>
  <c r="U75" i="9" s="1"/>
  <c r="Y74" i="9"/>
  <c r="Y75" i="9" s="1"/>
  <c r="F76" i="9"/>
  <c r="J76" i="9"/>
  <c r="O76" i="9"/>
  <c r="S76" i="9"/>
  <c r="W76" i="9"/>
  <c r="D100" i="9"/>
  <c r="B103" i="9"/>
  <c r="B100" i="9"/>
  <c r="B97" i="9"/>
  <c r="C154" i="9"/>
  <c r="D34" i="9"/>
  <c r="AA34" i="9" s="1"/>
  <c r="D133" i="9"/>
  <c r="D118" i="9"/>
  <c r="D88" i="9"/>
  <c r="D58" i="9"/>
  <c r="D103" i="9"/>
  <c r="D73" i="9"/>
  <c r="D45" i="9"/>
  <c r="L55" i="9"/>
  <c r="P55" i="9"/>
  <c r="T55" i="9"/>
  <c r="X55" i="9"/>
  <c r="N56" i="9"/>
  <c r="V56" i="9"/>
  <c r="P46" i="9"/>
  <c r="X46" i="9"/>
  <c r="T76" i="9"/>
  <c r="X76" i="9"/>
  <c r="L76" i="9"/>
  <c r="F91" i="9"/>
  <c r="J91" i="9"/>
  <c r="O91" i="9"/>
  <c r="S91" i="9"/>
  <c r="W91" i="9"/>
  <c r="N104" i="9"/>
  <c r="N105" i="9" s="1"/>
  <c r="R104" i="9"/>
  <c r="R105" i="9" s="1"/>
  <c r="V104" i="9"/>
  <c r="V105" i="9" s="1"/>
  <c r="D113" i="9"/>
  <c r="O56" i="9"/>
  <c r="S56" i="9"/>
  <c r="W56" i="9"/>
  <c r="L57" i="9"/>
  <c r="P57" i="9"/>
  <c r="T57" i="9"/>
  <c r="X57" i="9"/>
  <c r="H58" i="9"/>
  <c r="L58" i="9"/>
  <c r="P58" i="9"/>
  <c r="T58" i="9"/>
  <c r="X58" i="9"/>
  <c r="E56" i="9"/>
  <c r="E57" i="9"/>
  <c r="G76" i="9"/>
  <c r="O104" i="9"/>
  <c r="O105" i="9" s="1"/>
  <c r="S104" i="9"/>
  <c r="S105" i="9" s="1"/>
  <c r="W104" i="9"/>
  <c r="W105" i="9" s="1"/>
  <c r="H106" i="9"/>
  <c r="L106" i="9"/>
  <c r="P106" i="9"/>
  <c r="T106" i="9"/>
  <c r="X106" i="9"/>
  <c r="E121" i="9"/>
  <c r="D87" i="9"/>
  <c r="D102" i="9"/>
  <c r="D117" i="9"/>
  <c r="D72" i="9"/>
  <c r="C163" i="9"/>
  <c r="C133" i="9"/>
  <c r="B133" i="9" s="1"/>
  <c r="C118" i="9"/>
  <c r="B118" i="9" s="1"/>
  <c r="C73" i="9"/>
  <c r="B73" i="9" s="1"/>
  <c r="C88" i="9"/>
  <c r="B88" i="9" s="1"/>
  <c r="C58" i="9"/>
  <c r="E166" i="9"/>
  <c r="E151" i="9"/>
  <c r="O55" i="9"/>
  <c r="S55" i="9"/>
  <c r="W55" i="9"/>
  <c r="L56" i="9"/>
  <c r="P56" i="9"/>
  <c r="T56" i="9"/>
  <c r="X56" i="9"/>
  <c r="D44" i="9"/>
  <c r="M76" i="9"/>
  <c r="Q76" i="9"/>
  <c r="U76" i="9"/>
  <c r="Y76" i="9"/>
  <c r="N91" i="9"/>
  <c r="R91" i="9"/>
  <c r="V91" i="9"/>
  <c r="I91" i="9"/>
  <c r="Y91" i="9"/>
  <c r="E106" i="9"/>
  <c r="I106" i="9"/>
  <c r="M106" i="9"/>
  <c r="Q106" i="9"/>
  <c r="U106" i="9"/>
  <c r="J136" i="9"/>
  <c r="L134" i="9"/>
  <c r="L135" i="9" s="1"/>
  <c r="G166" i="9"/>
  <c r="O166" i="9"/>
  <c r="S166" i="9"/>
  <c r="W166" i="9"/>
  <c r="N121" i="9"/>
  <c r="R121" i="9"/>
  <c r="V121" i="9"/>
  <c r="N136" i="9"/>
  <c r="R136" i="9"/>
  <c r="V136" i="9"/>
  <c r="F121" i="9"/>
  <c r="J121" i="9"/>
  <c r="O121" i="9"/>
  <c r="S121" i="9"/>
  <c r="W121" i="9"/>
  <c r="F136" i="9"/>
  <c r="O136" i="9"/>
  <c r="S136" i="9"/>
  <c r="W136" i="9"/>
  <c r="M119" i="9"/>
  <c r="M120" i="9" s="1"/>
  <c r="Q119" i="9"/>
  <c r="Q120" i="9" s="1"/>
  <c r="U119" i="9"/>
  <c r="U120" i="9" s="1"/>
  <c r="Y119" i="9"/>
  <c r="Y120" i="9" s="1"/>
  <c r="G121" i="9"/>
  <c r="L121" i="9"/>
  <c r="P121" i="9"/>
  <c r="T121" i="9"/>
  <c r="X121" i="9"/>
  <c r="G136" i="9"/>
  <c r="L136" i="9"/>
  <c r="P136" i="9"/>
  <c r="T136" i="9"/>
  <c r="X136" i="9"/>
  <c r="O149" i="9"/>
  <c r="O150" i="9" s="1"/>
  <c r="S149" i="9"/>
  <c r="S150" i="9" s="1"/>
  <c r="W149" i="9"/>
  <c r="W150" i="9" s="1"/>
  <c r="H136" i="9"/>
  <c r="M136" i="9"/>
  <c r="Q136" i="9"/>
  <c r="U136" i="9"/>
  <c r="Y136" i="9"/>
  <c r="N134" i="9"/>
  <c r="N135" i="9" s="1"/>
  <c r="R134" i="9"/>
  <c r="R135" i="9" s="1"/>
  <c r="E136" i="9"/>
  <c r="I136" i="9"/>
  <c r="F166" i="9"/>
  <c r="J166" i="9"/>
  <c r="N166" i="9"/>
  <c r="R166" i="9"/>
  <c r="V166" i="9"/>
  <c r="L151" i="9"/>
  <c r="P151" i="9"/>
  <c r="T151" i="9"/>
  <c r="X151" i="9"/>
  <c r="O164" i="9"/>
  <c r="O165" i="9" s="1"/>
  <c r="S164" i="9"/>
  <c r="S165" i="9" s="1"/>
  <c r="W164" i="9"/>
  <c r="W165" i="9" s="1"/>
  <c r="H166" i="9"/>
  <c r="L166" i="9"/>
  <c r="P166" i="9"/>
  <c r="T166" i="9"/>
  <c r="X166" i="9"/>
  <c r="L149" i="9"/>
  <c r="L150" i="9" s="1"/>
  <c r="P149" i="9"/>
  <c r="P150" i="9" s="1"/>
  <c r="T149" i="9"/>
  <c r="T150" i="9" s="1"/>
  <c r="X149" i="9"/>
  <c r="X150" i="9" s="1"/>
  <c r="H151" i="9"/>
  <c r="M151" i="9"/>
  <c r="Q151" i="9"/>
  <c r="U151" i="9"/>
  <c r="Y151" i="9"/>
  <c r="L164" i="9"/>
  <c r="L165" i="9" s="1"/>
  <c r="P164" i="9"/>
  <c r="P165" i="9" s="1"/>
  <c r="T164" i="9"/>
  <c r="T165" i="9" s="1"/>
  <c r="X164" i="9"/>
  <c r="X165" i="9" s="1"/>
  <c r="I166" i="9"/>
  <c r="M166" i="9"/>
  <c r="Q166" i="9"/>
  <c r="U166" i="9"/>
  <c r="Y166" i="9"/>
  <c r="I151" i="9"/>
  <c r="E43" i="18" l="1"/>
  <c r="I43" i="18"/>
  <c r="J43" i="18"/>
  <c r="F43" i="18"/>
  <c r="H43" i="18"/>
  <c r="G43" i="18"/>
  <c r="E40" i="18"/>
  <c r="E53" i="18" s="1"/>
  <c r="J40" i="18"/>
  <c r="H40" i="18"/>
  <c r="I40" i="18"/>
  <c r="G40" i="18"/>
  <c r="F40" i="18"/>
  <c r="N58" i="18"/>
  <c r="J45" i="18"/>
  <c r="H42" i="18"/>
  <c r="J42" i="18"/>
  <c r="I42" i="18"/>
  <c r="G42" i="18"/>
  <c r="E42" i="18"/>
  <c r="F42" i="18"/>
  <c r="G41" i="18"/>
  <c r="I41" i="18"/>
  <c r="F41" i="18"/>
  <c r="H41" i="18"/>
  <c r="J41" i="18"/>
  <c r="E41" i="18"/>
  <c r="D51" i="18"/>
  <c r="Y51" i="18" s="1"/>
  <c r="F23" i="18"/>
  <c r="L59" i="18"/>
  <c r="L60" i="18" s="1"/>
  <c r="O58" i="9"/>
  <c r="H22" i="2"/>
  <c r="M59" i="18"/>
  <c r="M60" i="18" s="1"/>
  <c r="X47" i="18"/>
  <c r="X60" i="18" s="1"/>
  <c r="P59" i="18"/>
  <c r="P60" i="18" s="1"/>
  <c r="N46" i="18"/>
  <c r="N59" i="18" s="1"/>
  <c r="O47" i="18"/>
  <c r="O60" i="18" s="1"/>
  <c r="T59" i="18"/>
  <c r="T60" i="18" s="1"/>
  <c r="S59" i="18"/>
  <c r="S60" i="18" s="1"/>
  <c r="Y39" i="18"/>
  <c r="F16" i="18"/>
  <c r="P77" i="9"/>
  <c r="P29" i="9"/>
  <c r="P92" i="9" s="1"/>
  <c r="M59" i="9"/>
  <c r="M27" i="9" s="1"/>
  <c r="M60" i="9" s="1"/>
  <c r="U59" i="9"/>
  <c r="U27" i="9" s="1"/>
  <c r="U60" i="9" s="1"/>
  <c r="Q59" i="9"/>
  <c r="Q27" i="9" s="1"/>
  <c r="Q60" i="9" s="1"/>
  <c r="X77" i="9"/>
  <c r="W77" i="9"/>
  <c r="Y59" i="9"/>
  <c r="Y27" i="9" s="1"/>
  <c r="Y60" i="9" s="1"/>
  <c r="U30" i="9"/>
  <c r="U107" i="9" s="1"/>
  <c r="W47" i="18"/>
  <c r="W60" i="18" s="1"/>
  <c r="Q19" i="20"/>
  <c r="U47" i="18"/>
  <c r="U60" i="18" s="1"/>
  <c r="T34" i="9"/>
  <c r="T167" i="9" s="1"/>
  <c r="R33" i="9"/>
  <c r="R152" i="9" s="1"/>
  <c r="M31" i="9"/>
  <c r="M122" i="9" s="1"/>
  <c r="S31" i="9"/>
  <c r="S122" i="9" s="1"/>
  <c r="X47" i="9"/>
  <c r="W19" i="20"/>
  <c r="U28" i="9"/>
  <c r="U77" i="9" s="1"/>
  <c r="D159" i="9"/>
  <c r="D144" i="9"/>
  <c r="D129" i="9"/>
  <c r="D54" i="9"/>
  <c r="C15" i="20"/>
  <c r="N29" i="9"/>
  <c r="N92" i="9" s="1"/>
  <c r="C132" i="9"/>
  <c r="B132" i="9" s="1"/>
  <c r="C147" i="9"/>
  <c r="B147" i="9" s="1"/>
  <c r="C57" i="9"/>
  <c r="B18" i="20"/>
  <c r="U19" i="20"/>
  <c r="V47" i="9"/>
  <c r="C35" i="20"/>
  <c r="C23" i="20"/>
  <c r="P34" i="9"/>
  <c r="P167" i="9" s="1"/>
  <c r="T33" i="9"/>
  <c r="T152" i="9" s="1"/>
  <c r="W34" i="9"/>
  <c r="W167" i="9" s="1"/>
  <c r="V33" i="9"/>
  <c r="V152" i="9" s="1"/>
  <c r="M33" i="9"/>
  <c r="M152" i="9" s="1"/>
  <c r="R32" i="9"/>
  <c r="R137" i="9" s="1"/>
  <c r="S33" i="9"/>
  <c r="S152" i="9" s="1"/>
  <c r="W32" i="9"/>
  <c r="W137" i="9" s="1"/>
  <c r="Y31" i="9"/>
  <c r="Y122" i="9" s="1"/>
  <c r="V34" i="9"/>
  <c r="V167" i="9" s="1"/>
  <c r="Q32" i="9"/>
  <c r="Q137" i="9" s="1"/>
  <c r="N33" i="9"/>
  <c r="N152" i="9" s="1"/>
  <c r="X31" i="9"/>
  <c r="X122" i="9" s="1"/>
  <c r="W30" i="9"/>
  <c r="W107" i="9" s="1"/>
  <c r="N28" i="9"/>
  <c r="N77" i="9" s="1"/>
  <c r="P47" i="9"/>
  <c r="O19" i="20"/>
  <c r="B161" i="9"/>
  <c r="B162" i="9"/>
  <c r="B158" i="9"/>
  <c r="B157" i="9"/>
  <c r="B156" i="9"/>
  <c r="B155" i="9"/>
  <c r="B160" i="9"/>
  <c r="B163" i="9"/>
  <c r="B159" i="9"/>
  <c r="V31" i="9"/>
  <c r="V122" i="9" s="1"/>
  <c r="O29" i="9"/>
  <c r="O92" i="9" s="1"/>
  <c r="Q28" i="9"/>
  <c r="Q77" i="9" s="1"/>
  <c r="X59" i="9"/>
  <c r="O31" i="9"/>
  <c r="O122" i="9" s="1"/>
  <c r="D143" i="9"/>
  <c r="D158" i="9"/>
  <c r="D128" i="9"/>
  <c r="D53" i="9"/>
  <c r="C14" i="20"/>
  <c r="B148" i="9"/>
  <c r="P30" i="9"/>
  <c r="P107" i="9" s="1"/>
  <c r="R19" i="20"/>
  <c r="S47" i="9"/>
  <c r="R59" i="9"/>
  <c r="B40" i="20"/>
  <c r="B28" i="20"/>
  <c r="E32" i="9"/>
  <c r="D38" i="2" s="1"/>
  <c r="Q47" i="9"/>
  <c r="P19" i="20"/>
  <c r="B38" i="20"/>
  <c r="B26" i="20"/>
  <c r="C34" i="20"/>
  <c r="C22" i="20"/>
  <c r="G19" i="9"/>
  <c r="C142" i="9"/>
  <c r="B142" i="9" s="1"/>
  <c r="C127" i="9"/>
  <c r="B127" i="9" s="1"/>
  <c r="C52" i="9"/>
  <c r="B13" i="20"/>
  <c r="B34" i="20"/>
  <c r="B22" i="20"/>
  <c r="R47" i="18"/>
  <c r="R59" i="18"/>
  <c r="D46" i="18"/>
  <c r="Y37" i="18"/>
  <c r="D50" i="18"/>
  <c r="Y50" i="18" s="1"/>
  <c r="D34" i="2"/>
  <c r="W33" i="9"/>
  <c r="W152" i="9" s="1"/>
  <c r="N34" i="9"/>
  <c r="N167" i="9" s="1"/>
  <c r="L32" i="9"/>
  <c r="L137" i="9" s="1"/>
  <c r="D147" i="9"/>
  <c r="D132" i="9"/>
  <c r="D57" i="9"/>
  <c r="D162" i="9"/>
  <c r="C18" i="20"/>
  <c r="N30" i="9"/>
  <c r="N107" i="9" s="1"/>
  <c r="C39" i="20"/>
  <c r="C27" i="20"/>
  <c r="S59" i="9"/>
  <c r="C145" i="9"/>
  <c r="B145" i="9" s="1"/>
  <c r="C130" i="9"/>
  <c r="B130" i="9" s="1"/>
  <c r="C55" i="9"/>
  <c r="B16" i="20"/>
  <c r="B35" i="20"/>
  <c r="B23" i="20"/>
  <c r="M47" i="9"/>
  <c r="L19" i="20"/>
  <c r="V47" i="18"/>
  <c r="V59" i="18"/>
  <c r="L19" i="9"/>
  <c r="L34" i="9"/>
  <c r="L167" i="9" s="1"/>
  <c r="P33" i="9"/>
  <c r="P152" i="9" s="1"/>
  <c r="S34" i="9"/>
  <c r="S167" i="9" s="1"/>
  <c r="Y33" i="9"/>
  <c r="Y152" i="9" s="1"/>
  <c r="N32" i="9"/>
  <c r="N137" i="9" s="1"/>
  <c r="U34" i="9"/>
  <c r="U167" i="9" s="1"/>
  <c r="O33" i="9"/>
  <c r="O152" i="9" s="1"/>
  <c r="S32" i="9"/>
  <c r="S137" i="9" s="1"/>
  <c r="U31" i="9"/>
  <c r="U122" i="9" s="1"/>
  <c r="M32" i="9"/>
  <c r="M137" i="9" s="1"/>
  <c r="Y34" i="9"/>
  <c r="Y167" i="9" s="1"/>
  <c r="X32" i="9"/>
  <c r="X137" i="9" s="1"/>
  <c r="P31" i="9"/>
  <c r="P122" i="9" s="1"/>
  <c r="S30" i="9"/>
  <c r="S107" i="9" s="1"/>
  <c r="V30" i="9"/>
  <c r="V107" i="9" s="1"/>
  <c r="S29" i="9"/>
  <c r="S92" i="9" s="1"/>
  <c r="D163" i="9"/>
  <c r="D148" i="9"/>
  <c r="E167" i="9"/>
  <c r="B96" i="9"/>
  <c r="U30" i="20" s="1"/>
  <c r="R31" i="9"/>
  <c r="R122" i="9" s="1"/>
  <c r="M28" i="9"/>
  <c r="M77" i="9" s="1"/>
  <c r="T59" i="9"/>
  <c r="C38" i="20"/>
  <c r="C26" i="20"/>
  <c r="E152" i="9"/>
  <c r="V29" i="9"/>
  <c r="V92" i="9" s="1"/>
  <c r="T47" i="9"/>
  <c r="S19" i="20"/>
  <c r="W59" i="9"/>
  <c r="Y47" i="9"/>
  <c r="X19" i="20"/>
  <c r="C146" i="9"/>
  <c r="B146" i="9" s="1"/>
  <c r="C131" i="9"/>
  <c r="B131" i="9" s="1"/>
  <c r="C56" i="9"/>
  <c r="B17" i="20"/>
  <c r="U47" i="9"/>
  <c r="T19" i="20"/>
  <c r="B102" i="9"/>
  <c r="B29" i="20"/>
  <c r="B41" i="20"/>
  <c r="D142" i="9"/>
  <c r="D157" i="9"/>
  <c r="D127" i="9"/>
  <c r="D52" i="9"/>
  <c r="C13" i="20"/>
  <c r="D141" i="9"/>
  <c r="D156" i="9"/>
  <c r="D126" i="9"/>
  <c r="D51" i="9"/>
  <c r="C12" i="20"/>
  <c r="Q47" i="18"/>
  <c r="Q59" i="18"/>
  <c r="V28" i="9"/>
  <c r="V77" i="9" s="1"/>
  <c r="C143" i="9"/>
  <c r="B143" i="9" s="1"/>
  <c r="C128" i="9"/>
  <c r="B128" i="9" s="1"/>
  <c r="C53" i="9"/>
  <c r="B14" i="20"/>
  <c r="B36" i="20"/>
  <c r="B24" i="20"/>
  <c r="E37" i="9"/>
  <c r="G12" i="9"/>
  <c r="E77" i="9"/>
  <c r="X33" i="9"/>
  <c r="X152" i="9" s="1"/>
  <c r="Q33" i="9"/>
  <c r="Q152" i="9" s="1"/>
  <c r="V32" i="9"/>
  <c r="V137" i="9" s="1"/>
  <c r="U32" i="9"/>
  <c r="U137" i="9" s="1"/>
  <c r="E31" i="9"/>
  <c r="O28" i="9"/>
  <c r="O77" i="9" s="1"/>
  <c r="C42" i="20"/>
  <c r="C30" i="20"/>
  <c r="P32" i="9"/>
  <c r="P137" i="9" s="1"/>
  <c r="L59" i="9"/>
  <c r="M19" i="20"/>
  <c r="N47" i="9"/>
  <c r="C144" i="9"/>
  <c r="B144" i="9" s="1"/>
  <c r="C129" i="9"/>
  <c r="B129" i="9" s="1"/>
  <c r="C54" i="9"/>
  <c r="B15" i="20"/>
  <c r="C36" i="20"/>
  <c r="C24" i="20"/>
  <c r="R28" i="9"/>
  <c r="R77" i="9" s="1"/>
  <c r="B25" i="20"/>
  <c r="B37" i="20"/>
  <c r="D36" i="2"/>
  <c r="X34" i="9"/>
  <c r="X167" i="9" s="1"/>
  <c r="L33" i="9"/>
  <c r="L152" i="9" s="1"/>
  <c r="O34" i="9"/>
  <c r="O167" i="9" s="1"/>
  <c r="U33" i="9"/>
  <c r="U152" i="9" s="1"/>
  <c r="R34" i="9"/>
  <c r="R167" i="9" s="1"/>
  <c r="M34" i="9"/>
  <c r="M167" i="9" s="1"/>
  <c r="O32" i="9"/>
  <c r="O137" i="9" s="1"/>
  <c r="Q31" i="9"/>
  <c r="Q122" i="9" s="1"/>
  <c r="Q34" i="9"/>
  <c r="Q167" i="9" s="1"/>
  <c r="Y32" i="9"/>
  <c r="Y137" i="9" s="1"/>
  <c r="T32" i="9"/>
  <c r="T137" i="9" s="1"/>
  <c r="C41" i="20"/>
  <c r="C29" i="20"/>
  <c r="T31" i="9"/>
  <c r="T122" i="9" s="1"/>
  <c r="L31" i="9"/>
  <c r="L122" i="9" s="1"/>
  <c r="O30" i="9"/>
  <c r="O107" i="9" s="1"/>
  <c r="W31" i="9"/>
  <c r="W122" i="9" s="1"/>
  <c r="R30" i="9"/>
  <c r="R107" i="9" s="1"/>
  <c r="S28" i="9"/>
  <c r="S77" i="9" s="1"/>
  <c r="N31" i="9"/>
  <c r="N122" i="9" s="1"/>
  <c r="Y28" i="9"/>
  <c r="Y77" i="9" s="1"/>
  <c r="P59" i="9"/>
  <c r="C40" i="20"/>
  <c r="C28" i="20"/>
  <c r="C37" i="20"/>
  <c r="C25" i="20"/>
  <c r="R29" i="9"/>
  <c r="R92" i="9" s="1"/>
  <c r="L47" i="9"/>
  <c r="K19" i="20"/>
  <c r="V19" i="20"/>
  <c r="W47" i="9"/>
  <c r="N19" i="20"/>
  <c r="O47" i="9"/>
  <c r="B39" i="20"/>
  <c r="B27" i="20"/>
  <c r="C141" i="9"/>
  <c r="B141" i="9" s="1"/>
  <c r="C126" i="9"/>
  <c r="B126" i="9" s="1"/>
  <c r="C51" i="9"/>
  <c r="B12" i="20"/>
  <c r="V59" i="9"/>
  <c r="N59" i="9"/>
  <c r="C140" i="9"/>
  <c r="B140" i="9" s="1"/>
  <c r="C125" i="9"/>
  <c r="B125" i="9" s="1"/>
  <c r="C50" i="9"/>
  <c r="B11" i="20"/>
  <c r="E107" i="9"/>
  <c r="E29" i="9"/>
  <c r="K28" i="20" l="1"/>
  <c r="L28" i="20"/>
  <c r="Q28" i="20"/>
  <c r="W28" i="20"/>
  <c r="M28" i="20"/>
  <c r="O28" i="20"/>
  <c r="V28" i="20"/>
  <c r="X28" i="20"/>
  <c r="S28" i="20"/>
  <c r="R28" i="20"/>
  <c r="T28" i="20"/>
  <c r="U28" i="20"/>
  <c r="N28" i="20"/>
  <c r="P28" i="20"/>
  <c r="F30" i="20"/>
  <c r="X30" i="20"/>
  <c r="L30" i="20"/>
  <c r="M30" i="20"/>
  <c r="I30" i="20"/>
  <c r="X27" i="20"/>
  <c r="U27" i="20"/>
  <c r="K27" i="20"/>
  <c r="P27" i="20"/>
  <c r="M27" i="20"/>
  <c r="S27" i="20"/>
  <c r="T27" i="20"/>
  <c r="L27" i="20"/>
  <c r="N27" i="20"/>
  <c r="Q27" i="20"/>
  <c r="W27" i="20"/>
  <c r="R27" i="20"/>
  <c r="V27" i="20"/>
  <c r="O27" i="20"/>
  <c r="D24" i="20"/>
  <c r="G24" i="20"/>
  <c r="U24" i="20"/>
  <c r="K24" i="20"/>
  <c r="Q24" i="20"/>
  <c r="R24" i="20"/>
  <c r="T24" i="20"/>
  <c r="J24" i="20"/>
  <c r="O24" i="20"/>
  <c r="S24" i="20"/>
  <c r="V24" i="20"/>
  <c r="M24" i="20"/>
  <c r="I24" i="20"/>
  <c r="N24" i="20"/>
  <c r="E24" i="20"/>
  <c r="P24" i="20"/>
  <c r="W24" i="20"/>
  <c r="L24" i="20"/>
  <c r="F24" i="20"/>
  <c r="X24" i="20"/>
  <c r="H24" i="20"/>
  <c r="X29" i="20"/>
  <c r="N29" i="20"/>
  <c r="K29" i="20"/>
  <c r="M29" i="20"/>
  <c r="S29" i="20"/>
  <c r="U29" i="20"/>
  <c r="O29" i="20"/>
  <c r="L29" i="20"/>
  <c r="R29" i="20"/>
  <c r="W29" i="20"/>
  <c r="P29" i="20"/>
  <c r="V29" i="20"/>
  <c r="T29" i="20"/>
  <c r="Q29" i="20"/>
  <c r="O30" i="20"/>
  <c r="W30" i="20"/>
  <c r="P30" i="20"/>
  <c r="T30" i="20"/>
  <c r="X25" i="20"/>
  <c r="V25" i="20"/>
  <c r="S25" i="20"/>
  <c r="U25" i="20"/>
  <c r="N25" i="20"/>
  <c r="K25" i="20"/>
  <c r="M25" i="20"/>
  <c r="R25" i="20"/>
  <c r="L25" i="20"/>
  <c r="O25" i="20"/>
  <c r="Q25" i="20"/>
  <c r="P25" i="20"/>
  <c r="T25" i="20"/>
  <c r="W25" i="20"/>
  <c r="H23" i="20"/>
  <c r="U23" i="20"/>
  <c r="W23" i="20"/>
  <c r="G23" i="20"/>
  <c r="X23" i="20"/>
  <c r="O23" i="20"/>
  <c r="F23" i="20"/>
  <c r="L23" i="20"/>
  <c r="I23" i="20"/>
  <c r="R23" i="20"/>
  <c r="E23" i="20"/>
  <c r="V23" i="20"/>
  <c r="Q23" i="20"/>
  <c r="S23" i="20"/>
  <c r="J23" i="20"/>
  <c r="N23" i="20"/>
  <c r="T23" i="20"/>
  <c r="M23" i="20"/>
  <c r="P23" i="20"/>
  <c r="K23" i="20"/>
  <c r="D22" i="20"/>
  <c r="M22" i="20"/>
  <c r="Q22" i="20"/>
  <c r="W22" i="20"/>
  <c r="X22" i="20"/>
  <c r="H22" i="20"/>
  <c r="J22" i="20"/>
  <c r="G22" i="20"/>
  <c r="P22" i="20"/>
  <c r="U22" i="20"/>
  <c r="E22" i="20"/>
  <c r="S22" i="20"/>
  <c r="I22" i="20"/>
  <c r="O22" i="20"/>
  <c r="T22" i="20"/>
  <c r="V22" i="20"/>
  <c r="F22" i="20"/>
  <c r="K22" i="20"/>
  <c r="R22" i="20"/>
  <c r="L22" i="20"/>
  <c r="N22" i="20"/>
  <c r="Q30" i="20"/>
  <c r="R30" i="20"/>
  <c r="H30" i="20"/>
  <c r="G30" i="20"/>
  <c r="V30" i="20"/>
  <c r="U26" i="20"/>
  <c r="K26" i="20"/>
  <c r="T26" i="20"/>
  <c r="S26" i="20"/>
  <c r="Q26" i="20"/>
  <c r="W26" i="20"/>
  <c r="X26" i="20"/>
  <c r="O26" i="20"/>
  <c r="P26" i="20"/>
  <c r="V26" i="20"/>
  <c r="M26" i="20"/>
  <c r="L26" i="20"/>
  <c r="R26" i="20"/>
  <c r="N26" i="20"/>
  <c r="E30" i="20"/>
  <c r="S30" i="20"/>
  <c r="K30" i="20"/>
  <c r="N30" i="20"/>
  <c r="E122" i="9"/>
  <c r="E92" i="9"/>
  <c r="N47" i="18"/>
  <c r="N60" i="18" s="1"/>
  <c r="O59" i="9"/>
  <c r="O27" i="9" s="1"/>
  <c r="O60" i="9" s="1"/>
  <c r="K58" i="18"/>
  <c r="K46" i="18"/>
  <c r="M48" i="9"/>
  <c r="Q60" i="18"/>
  <c r="U48" i="9"/>
  <c r="Y48" i="9"/>
  <c r="D27" i="20"/>
  <c r="D23" i="20"/>
  <c r="D30" i="20"/>
  <c r="Q48" i="9"/>
  <c r="D37" i="2"/>
  <c r="W27" i="9"/>
  <c r="W60" i="9" s="1"/>
  <c r="T27" i="9"/>
  <c r="T60" i="9" s="1"/>
  <c r="R27" i="9"/>
  <c r="R48" i="9" s="1"/>
  <c r="N27" i="9"/>
  <c r="N48" i="9" s="1"/>
  <c r="D25" i="20"/>
  <c r="D59" i="18"/>
  <c r="D26" i="20"/>
  <c r="D28" i="20"/>
  <c r="E50" i="9"/>
  <c r="E46" i="9"/>
  <c r="D11" i="20"/>
  <c r="D29" i="20"/>
  <c r="X27" i="9"/>
  <c r="X60" i="9" s="1"/>
  <c r="D35" i="2"/>
  <c r="V27" i="9"/>
  <c r="V48" i="9" s="1"/>
  <c r="P27" i="9"/>
  <c r="P60" i="9" s="1"/>
  <c r="L27" i="9"/>
  <c r="L48" i="9" s="1"/>
  <c r="V60" i="18"/>
  <c r="S27" i="9"/>
  <c r="S48" i="9" s="1"/>
  <c r="R60" i="18"/>
  <c r="E137" i="9"/>
  <c r="K47" i="18" l="1"/>
  <c r="K59" i="18"/>
  <c r="T48" i="9"/>
  <c r="P48" i="9"/>
  <c r="S31" i="20"/>
  <c r="M31" i="20"/>
  <c r="T31" i="20"/>
  <c r="V60" i="9"/>
  <c r="X48" i="9"/>
  <c r="S60" i="9"/>
  <c r="N60" i="9"/>
  <c r="W48" i="9"/>
  <c r="O48" i="9"/>
  <c r="X31" i="20"/>
  <c r="Q31" i="20"/>
  <c r="V31" i="20"/>
  <c r="L60" i="9"/>
  <c r="E47" i="9"/>
  <c r="D19" i="20"/>
  <c r="R31" i="20"/>
  <c r="O31" i="20"/>
  <c r="L31" i="20"/>
  <c r="U31" i="20"/>
  <c r="Y22" i="20"/>
  <c r="D31" i="20"/>
  <c r="Y24" i="20"/>
  <c r="E59" i="9"/>
  <c r="Z50" i="9"/>
  <c r="H26" i="2" s="1"/>
  <c r="K31" i="20"/>
  <c r="N31" i="20"/>
  <c r="W31" i="20"/>
  <c r="P31" i="20"/>
  <c r="R60" i="9"/>
  <c r="Y23" i="20"/>
  <c r="K60" i="18" l="1"/>
  <c r="E27" i="9"/>
  <c r="E60" i="9"/>
  <c r="E48" i="9" l="1"/>
  <c r="G54" i="18" l="1"/>
  <c r="J54" i="18"/>
  <c r="E54" i="18"/>
  <c r="G57" i="18"/>
  <c r="J56" i="18"/>
  <c r="I55" i="18"/>
  <c r="I56" i="18"/>
  <c r="G55" i="18"/>
  <c r="J57" i="18"/>
  <c r="I57" i="18"/>
  <c r="J55" i="18"/>
  <c r="F57" i="18"/>
  <c r="F55" i="18"/>
  <c r="G56" i="18"/>
  <c r="E55" i="18"/>
  <c r="H54" i="18"/>
  <c r="G53" i="18"/>
  <c r="J53" i="18"/>
  <c r="J58" i="18"/>
  <c r="Y58" i="18" s="1"/>
  <c r="F56" i="18"/>
  <c r="H55" i="18"/>
  <c r="E56" i="18"/>
  <c r="F53" i="18"/>
  <c r="F54" i="18"/>
  <c r="I54" i="18"/>
  <c r="H56" i="18"/>
  <c r="D47" i="18"/>
  <c r="D60" i="18" s="1"/>
  <c r="E57" i="18"/>
  <c r="H57" i="18"/>
  <c r="Y45" i="18" l="1"/>
  <c r="F46" i="18"/>
  <c r="F59" i="18" s="1"/>
  <c r="Y43" i="18"/>
  <c r="Y44" i="18"/>
  <c r="Y57" i="18"/>
  <c r="Y54" i="18"/>
  <c r="Y56" i="18"/>
  <c r="Y40" i="18"/>
  <c r="E46" i="18"/>
  <c r="I53" i="18"/>
  <c r="I46" i="18"/>
  <c r="Y41" i="18"/>
  <c r="Y42" i="18"/>
  <c r="Y55" i="18"/>
  <c r="J46" i="18"/>
  <c r="H53" i="18"/>
  <c r="H46" i="18"/>
  <c r="G46" i="18"/>
  <c r="Y53" i="18" l="1"/>
  <c r="F47" i="18"/>
  <c r="F60" i="18" s="1"/>
  <c r="G59" i="18"/>
  <c r="G47" i="18"/>
  <c r="I47" i="18"/>
  <c r="I59" i="18"/>
  <c r="H59" i="18"/>
  <c r="H47" i="18"/>
  <c r="H60" i="18" s="1"/>
  <c r="Y46" i="18"/>
  <c r="E59" i="18"/>
  <c r="E47" i="18"/>
  <c r="J59" i="18"/>
  <c r="J47" i="18"/>
  <c r="G60" i="18" l="1"/>
  <c r="J60" i="18"/>
  <c r="I60" i="18"/>
  <c r="E60" i="18"/>
  <c r="Y47" i="18"/>
  <c r="Y59" i="18"/>
  <c r="D34" i="18" s="1"/>
  <c r="Y60" i="18" l="1"/>
  <c r="J130" i="9"/>
  <c r="I72" i="9"/>
  <c r="G129" i="9"/>
  <c r="I131" i="9"/>
  <c r="H114" i="9"/>
  <c r="I115" i="9"/>
  <c r="H84" i="9"/>
  <c r="J147" i="9"/>
  <c r="H160" i="9"/>
  <c r="I162" i="9"/>
  <c r="J117" i="9"/>
  <c r="H71" i="9"/>
  <c r="G87" i="9"/>
  <c r="J159" i="9"/>
  <c r="J116" i="9"/>
  <c r="G85" i="9"/>
  <c r="I117" i="9"/>
  <c r="K71" i="9"/>
  <c r="I87" i="9"/>
  <c r="F132" i="9"/>
  <c r="K69" i="9"/>
  <c r="K131" i="9"/>
  <c r="H116" i="9"/>
  <c r="J115" i="9"/>
  <c r="H161" i="9"/>
  <c r="H85" i="9"/>
  <c r="I130" i="9"/>
  <c r="J132" i="9"/>
  <c r="H70" i="9"/>
  <c r="F162" i="9"/>
  <c r="F116" i="9"/>
  <c r="K160" i="9"/>
  <c r="I84" i="9"/>
  <c r="J85" i="9"/>
  <c r="G161" i="9"/>
  <c r="G147" i="9"/>
  <c r="H130" i="9"/>
  <c r="G70" i="9"/>
  <c r="F72" i="9"/>
  <c r="K85" i="9"/>
  <c r="I85" i="9"/>
  <c r="F131" i="9"/>
  <c r="G131" i="9"/>
  <c r="I129" i="9"/>
  <c r="H159" i="9"/>
  <c r="J70" i="9"/>
  <c r="J145" i="9"/>
  <c r="G117" i="9"/>
  <c r="K161" i="9"/>
  <c r="I160" i="9"/>
  <c r="H115" i="9"/>
  <c r="F146" i="9"/>
  <c r="F129" i="9"/>
  <c r="K84" i="9"/>
  <c r="H132" i="9"/>
  <c r="H86" i="9"/>
  <c r="F147" i="9"/>
  <c r="H72" i="9"/>
  <c r="I147" i="9"/>
  <c r="J86" i="9"/>
  <c r="G132" i="9"/>
  <c r="H144" i="9"/>
  <c r="K114" i="9"/>
  <c r="H87" i="9"/>
  <c r="H146" i="9"/>
  <c r="G160" i="9"/>
  <c r="I70" i="9"/>
  <c r="F145" i="9"/>
  <c r="K115" i="9"/>
  <c r="G145" i="9"/>
  <c r="J129" i="9"/>
  <c r="J84" i="9"/>
  <c r="J72" i="9"/>
  <c r="F130" i="9"/>
  <c r="H117" i="9"/>
  <c r="K72" i="9"/>
  <c r="G130" i="9"/>
  <c r="K162" i="9"/>
  <c r="F117" i="9"/>
  <c r="K132" i="9"/>
  <c r="J162" i="9"/>
  <c r="H147" i="9"/>
  <c r="K86" i="9"/>
  <c r="G84" i="9"/>
  <c r="K146" i="9"/>
  <c r="F71" i="9"/>
  <c r="I86" i="9"/>
  <c r="J87" i="9"/>
  <c r="J146" i="9"/>
  <c r="K145" i="9"/>
  <c r="G86" i="9"/>
  <c r="I71" i="9"/>
  <c r="F161" i="9"/>
  <c r="K144" i="9"/>
  <c r="K117" i="9"/>
  <c r="I161" i="9"/>
  <c r="K70" i="9"/>
  <c r="K159" i="9"/>
  <c r="J114" i="9"/>
  <c r="G146" i="9"/>
  <c r="I144" i="9"/>
  <c r="K130" i="9"/>
  <c r="F144" i="9"/>
  <c r="K147" i="9"/>
  <c r="K116" i="9"/>
  <c r="G159" i="9"/>
  <c r="K87" i="9"/>
  <c r="F115" i="9"/>
  <c r="I132" i="9"/>
  <c r="H145" i="9"/>
  <c r="G71" i="9"/>
  <c r="J144" i="9"/>
  <c r="I69" i="9"/>
  <c r="F69" i="9"/>
  <c r="J131" i="9"/>
  <c r="H131" i="9"/>
  <c r="I146" i="9"/>
  <c r="F159" i="9"/>
  <c r="G144" i="9"/>
  <c r="I114" i="9"/>
  <c r="J69" i="9"/>
  <c r="F114" i="9"/>
  <c r="J161" i="9"/>
  <c r="F160" i="9"/>
  <c r="I159" i="9"/>
  <c r="H162" i="9"/>
  <c r="H129" i="9"/>
  <c r="J160" i="9"/>
  <c r="G69" i="9"/>
  <c r="G114" i="9"/>
  <c r="F87" i="9"/>
  <c r="G116" i="9"/>
  <c r="H69" i="9"/>
  <c r="F70" i="9"/>
  <c r="F85" i="9"/>
  <c r="F86" i="9"/>
  <c r="F84" i="9"/>
  <c r="J71" i="9"/>
  <c r="G162" i="9"/>
  <c r="I116" i="9"/>
  <c r="G72" i="9"/>
  <c r="I145" i="9"/>
  <c r="G115" i="9"/>
  <c r="K129" i="9"/>
  <c r="J41" i="9"/>
  <c r="I15" i="20" s="1"/>
  <c r="K41" i="9"/>
  <c r="J42" i="9"/>
  <c r="J55" i="9" s="1"/>
  <c r="G41" i="9"/>
  <c r="I43" i="9"/>
  <c r="H17" i="20" s="1"/>
  <c r="H42" i="9"/>
  <c r="H55" i="9" s="1"/>
  <c r="G42" i="9"/>
  <c r="I42" i="9"/>
  <c r="H16" i="20" s="1"/>
  <c r="J43" i="9"/>
  <c r="H41" i="9"/>
  <c r="H54" i="9" s="1"/>
  <c r="G44" i="9"/>
  <c r="F18" i="20" s="1"/>
  <c r="K44" i="9"/>
  <c r="J18" i="20" s="1"/>
  <c r="K42" i="9"/>
  <c r="J16" i="20" s="1"/>
  <c r="H44" i="9"/>
  <c r="G18" i="20" s="1"/>
  <c r="J44" i="9"/>
  <c r="H43" i="9"/>
  <c r="G17" i="20" s="1"/>
  <c r="I44" i="9"/>
  <c r="H18" i="20" s="1"/>
  <c r="G101" i="9"/>
  <c r="F28" i="20" s="1"/>
  <c r="K100" i="9"/>
  <c r="J27" i="20" s="1"/>
  <c r="G102" i="9"/>
  <c r="F29" i="20" s="1"/>
  <c r="K148" i="9"/>
  <c r="K151" i="9" s="1"/>
  <c r="I99" i="9"/>
  <c r="H26" i="20" s="1"/>
  <c r="G99" i="9"/>
  <c r="F26" i="20" s="1"/>
  <c r="I100" i="9"/>
  <c r="H27" i="20" s="1"/>
  <c r="K73" i="9"/>
  <c r="K76" i="9" s="1"/>
  <c r="F34" i="2" s="1"/>
  <c r="I41" i="9"/>
  <c r="H15" i="20" s="1"/>
  <c r="G43" i="9"/>
  <c r="G56" i="9" s="1"/>
  <c r="J101" i="9"/>
  <c r="I28" i="20" s="1"/>
  <c r="I101" i="9"/>
  <c r="H28" i="20" s="1"/>
  <c r="K43" i="9"/>
  <c r="K56" i="9" s="1"/>
  <c r="J128" i="9"/>
  <c r="J102" i="9"/>
  <c r="I29" i="20" s="1"/>
  <c r="I102" i="9"/>
  <c r="H29" i="20" s="1"/>
  <c r="H101" i="9"/>
  <c r="G28" i="20" s="1"/>
  <c r="H99" i="9"/>
  <c r="G26" i="20" s="1"/>
  <c r="H102" i="9"/>
  <c r="G29" i="20" s="1"/>
  <c r="K40" i="9"/>
  <c r="G113" i="9"/>
  <c r="G100" i="9"/>
  <c r="F27" i="20" s="1"/>
  <c r="I40" i="9"/>
  <c r="F143" i="9"/>
  <c r="G143" i="9"/>
  <c r="K163" i="9"/>
  <c r="K166" i="9" s="1"/>
  <c r="Z166" i="9" s="1"/>
  <c r="J143" i="9"/>
  <c r="I98" i="9"/>
  <c r="H25" i="20" s="1"/>
  <c r="H158" i="9"/>
  <c r="J158" i="9"/>
  <c r="F99" i="9"/>
  <c r="E26" i="20" s="1"/>
  <c r="F100" i="9"/>
  <c r="E27" i="20" s="1"/>
  <c r="F101" i="9"/>
  <c r="E28" i="20" s="1"/>
  <c r="F42" i="9"/>
  <c r="F55" i="9" s="1"/>
  <c r="K113" i="9"/>
  <c r="G98" i="9"/>
  <c r="F25" i="20" s="1"/>
  <c r="I143" i="9"/>
  <c r="H98" i="9"/>
  <c r="G25" i="20" s="1"/>
  <c r="K83" i="9"/>
  <c r="K91" i="9"/>
  <c r="F35" i="2" s="1"/>
  <c r="G158" i="9"/>
  <c r="J30" i="20"/>
  <c r="I158" i="9"/>
  <c r="K68" i="9"/>
  <c r="K102" i="9"/>
  <c r="J29" i="20" s="1"/>
  <c r="J68" i="9"/>
  <c r="J113" i="9"/>
  <c r="H40" i="9"/>
  <c r="K45" i="9"/>
  <c r="K58" i="9" s="1"/>
  <c r="Z58" i="9" s="1"/>
  <c r="H28" i="2" s="1"/>
  <c r="F158" i="9"/>
  <c r="H68" i="9"/>
  <c r="I128" i="9"/>
  <c r="K128" i="9"/>
  <c r="J83" i="9"/>
  <c r="G83" i="9"/>
  <c r="F113" i="9"/>
  <c r="K143" i="9"/>
  <c r="J98" i="9"/>
  <c r="I25" i="20" s="1"/>
  <c r="F40" i="9"/>
  <c r="K101" i="9"/>
  <c r="J28" i="20" s="1"/>
  <c r="I113" i="9"/>
  <c r="F43" i="9"/>
  <c r="H128" i="9"/>
  <c r="I68" i="9"/>
  <c r="F102" i="9"/>
  <c r="E29" i="20" s="1"/>
  <c r="H83" i="9"/>
  <c r="G128" i="9"/>
  <c r="K121" i="9"/>
  <c r="F37" i="2" s="1"/>
  <c r="K133" i="9"/>
  <c r="K136" i="9" s="1"/>
  <c r="F38" i="2" s="1"/>
  <c r="F41" i="9"/>
  <c r="E15" i="20" s="1"/>
  <c r="I83" i="9"/>
  <c r="H113" i="9"/>
  <c r="K158" i="9"/>
  <c r="F44" i="9"/>
  <c r="H143" i="9"/>
  <c r="G68" i="9"/>
  <c r="G40" i="9"/>
  <c r="G53" i="9" s="1"/>
  <c r="J100" i="9"/>
  <c r="I27" i="20" s="1"/>
  <c r="F98" i="9"/>
  <c r="E25" i="20" s="1"/>
  <c r="K98" i="9"/>
  <c r="J25" i="20" s="1"/>
  <c r="J40" i="9"/>
  <c r="I14" i="20" s="1"/>
  <c r="J99" i="9"/>
  <c r="I26" i="20" s="1"/>
  <c r="F68" i="9"/>
  <c r="F128" i="9"/>
  <c r="H100" i="9"/>
  <c r="G27" i="20" s="1"/>
  <c r="K99" i="9"/>
  <c r="J26" i="20" s="1"/>
  <c r="F83" i="9"/>
  <c r="K74" i="9" l="1"/>
  <c r="K75" i="9" s="1"/>
  <c r="K28" i="9" s="1"/>
  <c r="E31" i="20"/>
  <c r="H149" i="9"/>
  <c r="H150" i="9" s="1"/>
  <c r="H33" i="9" s="1"/>
  <c r="H152" i="9" s="1"/>
  <c r="G149" i="9"/>
  <c r="G150" i="9" s="1"/>
  <c r="G33" i="9" s="1"/>
  <c r="G152" i="9" s="1"/>
  <c r="H56" i="9"/>
  <c r="J164" i="9"/>
  <c r="J165" i="9" s="1"/>
  <c r="J34" i="9" s="1"/>
  <c r="J167" i="9" s="1"/>
  <c r="J53" i="9"/>
  <c r="F164" i="9"/>
  <c r="F165" i="9" s="1"/>
  <c r="F34" i="9" s="1"/>
  <c r="J17" i="20"/>
  <c r="K57" i="9"/>
  <c r="J31" i="20"/>
  <c r="H57" i="9"/>
  <c r="E16" i="20"/>
  <c r="I46" i="9"/>
  <c r="I47" i="9" s="1"/>
  <c r="J46" i="9"/>
  <c r="I19" i="20" s="1"/>
  <c r="Z43" i="9"/>
  <c r="Y17" i="20" s="1"/>
  <c r="I164" i="9"/>
  <c r="I165" i="9" s="1"/>
  <c r="I34" i="9" s="1"/>
  <c r="I167" i="9" s="1"/>
  <c r="J134" i="9"/>
  <c r="J135" i="9" s="1"/>
  <c r="J32" i="9" s="1"/>
  <c r="J137" i="9" s="1"/>
  <c r="H46" i="9"/>
  <c r="H47" i="9" s="1"/>
  <c r="Z42" i="9"/>
  <c r="Y16" i="20" s="1"/>
  <c r="F17" i="20"/>
  <c r="I57" i="9"/>
  <c r="G57" i="9"/>
  <c r="K134" i="9"/>
  <c r="K135" i="9" s="1"/>
  <c r="K32" i="9" s="1"/>
  <c r="K137" i="9" s="1"/>
  <c r="H134" i="9"/>
  <c r="H135" i="9" s="1"/>
  <c r="H32" i="9" s="1"/>
  <c r="H137" i="9" s="1"/>
  <c r="F149" i="9"/>
  <c r="F150" i="9" s="1"/>
  <c r="I89" i="9"/>
  <c r="I90" i="9" s="1"/>
  <c r="I29" i="9" s="1"/>
  <c r="I92" i="9" s="1"/>
  <c r="I74" i="9"/>
  <c r="I75" i="9" s="1"/>
  <c r="I28" i="9" s="1"/>
  <c r="I77" i="9" s="1"/>
  <c r="J149" i="9"/>
  <c r="J150" i="9" s="1"/>
  <c r="J33" i="9" s="1"/>
  <c r="J152" i="9" s="1"/>
  <c r="H89" i="9"/>
  <c r="H90" i="9" s="1"/>
  <c r="F56" i="9"/>
  <c r="F14" i="20"/>
  <c r="I55" i="9"/>
  <c r="G16" i="20"/>
  <c r="H19" i="20"/>
  <c r="I16" i="20"/>
  <c r="J54" i="9"/>
  <c r="H164" i="9"/>
  <c r="H165" i="9" s="1"/>
  <c r="H34" i="9" s="1"/>
  <c r="K164" i="9"/>
  <c r="K165" i="9" s="1"/>
  <c r="K34" i="9" s="1"/>
  <c r="K149" i="9"/>
  <c r="K150" i="9" s="1"/>
  <c r="K33" i="9" s="1"/>
  <c r="K152" i="9" s="1"/>
  <c r="F134" i="9"/>
  <c r="F135" i="9" s="1"/>
  <c r="H74" i="9"/>
  <c r="H75" i="9" s="1"/>
  <c r="H28" i="9" s="1"/>
  <c r="H77" i="9" s="1"/>
  <c r="F104" i="9"/>
  <c r="F105" i="9" s="1"/>
  <c r="F54" i="9"/>
  <c r="J74" i="9"/>
  <c r="J75" i="9" s="1"/>
  <c r="J28" i="9" s="1"/>
  <c r="J77" i="9" s="1"/>
  <c r="I53" i="9"/>
  <c r="K55" i="9"/>
  <c r="G15" i="20"/>
  <c r="E17" i="20"/>
  <c r="I56" i="9"/>
  <c r="Y28" i="20"/>
  <c r="Y29" i="20"/>
  <c r="F31" i="20"/>
  <c r="H29" i="9"/>
  <c r="H92" i="9" s="1"/>
  <c r="H31" i="20"/>
  <c r="I104" i="9"/>
  <c r="I105" i="9" s="1"/>
  <c r="G54" i="9"/>
  <c r="F15" i="20"/>
  <c r="G46" i="9"/>
  <c r="F33" i="9"/>
  <c r="F152" i="9" s="1"/>
  <c r="H119" i="9"/>
  <c r="H120" i="9" s="1"/>
  <c r="F89" i="9"/>
  <c r="F90" i="9" s="1"/>
  <c r="I149" i="9"/>
  <c r="I150" i="9" s="1"/>
  <c r="G119" i="9"/>
  <c r="G120" i="9" s="1"/>
  <c r="G164" i="9"/>
  <c r="G165" i="9" s="1"/>
  <c r="K89" i="9"/>
  <c r="K90" i="9" s="1"/>
  <c r="G74" i="9"/>
  <c r="G75" i="9" s="1"/>
  <c r="F57" i="9"/>
  <c r="E18" i="20"/>
  <c r="G134" i="9"/>
  <c r="G135" i="9" s="1"/>
  <c r="G89" i="9"/>
  <c r="G90" i="9" s="1"/>
  <c r="Z44" i="9"/>
  <c r="Y18" i="20" s="1"/>
  <c r="K104" i="9"/>
  <c r="K105" i="9" s="1"/>
  <c r="J15" i="20"/>
  <c r="K54" i="9"/>
  <c r="K46" i="9"/>
  <c r="F119" i="9"/>
  <c r="F120" i="9" s="1"/>
  <c r="K77" i="9"/>
  <c r="J104" i="9"/>
  <c r="J105" i="9" s="1"/>
  <c r="I31" i="20"/>
  <c r="Z41" i="9"/>
  <c r="Y15" i="20" s="1"/>
  <c r="I134" i="9"/>
  <c r="I135" i="9" s="1"/>
  <c r="Z45" i="9"/>
  <c r="H14" i="20"/>
  <c r="J56" i="9"/>
  <c r="I17" i="20"/>
  <c r="F16" i="20"/>
  <c r="G55" i="9"/>
  <c r="F74" i="9"/>
  <c r="F75" i="9" s="1"/>
  <c r="E14" i="20"/>
  <c r="F46" i="9"/>
  <c r="F53" i="9"/>
  <c r="Z40" i="9"/>
  <c r="Y14" i="20" s="1"/>
  <c r="J89" i="9"/>
  <c r="J90" i="9" s="1"/>
  <c r="H104" i="9"/>
  <c r="H105" i="9" s="1"/>
  <c r="G31" i="20"/>
  <c r="G104" i="9"/>
  <c r="G105" i="9" s="1"/>
  <c r="I54" i="9"/>
  <c r="I18" i="20"/>
  <c r="J57" i="9"/>
  <c r="I119" i="9"/>
  <c r="I120" i="9" s="1"/>
  <c r="G14" i="20"/>
  <c r="H53" i="9"/>
  <c r="K119" i="9"/>
  <c r="K120" i="9" s="1"/>
  <c r="J14" i="20"/>
  <c r="K53" i="9"/>
  <c r="F36" i="2"/>
  <c r="J119" i="9"/>
  <c r="J120" i="9" s="1"/>
  <c r="H167" i="9" l="1"/>
  <c r="F30" i="9"/>
  <c r="F107" i="9" s="1"/>
  <c r="G19" i="20"/>
  <c r="H59" i="9"/>
  <c r="H27" i="9" s="1"/>
  <c r="H48" i="9" s="1"/>
  <c r="Y30" i="20"/>
  <c r="J47" i="9"/>
  <c r="Z165" i="9"/>
  <c r="K59" i="9"/>
  <c r="I59" i="9"/>
  <c r="I27" i="9" s="1"/>
  <c r="I48" i="9" s="1"/>
  <c r="Z105" i="9"/>
  <c r="J59" i="9"/>
  <c r="J27" i="9" s="1"/>
  <c r="J60" i="9" s="1"/>
  <c r="F167" i="9"/>
  <c r="F32" i="9"/>
  <c r="Z55" i="9"/>
  <c r="K167" i="9"/>
  <c r="Z57" i="9"/>
  <c r="Y26" i="20"/>
  <c r="Z53" i="9"/>
  <c r="F59" i="9"/>
  <c r="I32" i="9"/>
  <c r="I137" i="9" s="1"/>
  <c r="Y25" i="20"/>
  <c r="I31" i="9"/>
  <c r="I122" i="9" s="1"/>
  <c r="H30" i="9"/>
  <c r="H107" i="9" s="1"/>
  <c r="Z54" i="9"/>
  <c r="K30" i="9"/>
  <c r="K107" i="9" s="1"/>
  <c r="G29" i="9"/>
  <c r="G92" i="9" s="1"/>
  <c r="Z135" i="9"/>
  <c r="I33" i="9"/>
  <c r="I152" i="9" s="1"/>
  <c r="H31" i="9"/>
  <c r="H122" i="9" s="1"/>
  <c r="J31" i="9"/>
  <c r="J122" i="9" s="1"/>
  <c r="K31" i="9"/>
  <c r="K122" i="9" s="1"/>
  <c r="J29" i="9"/>
  <c r="J92" i="9" s="1"/>
  <c r="Y27" i="20"/>
  <c r="Z120" i="9"/>
  <c r="F31" i="9"/>
  <c r="Z56" i="9"/>
  <c r="G59" i="9"/>
  <c r="G34" i="9"/>
  <c r="G167" i="9" s="1"/>
  <c r="Z150" i="9"/>
  <c r="K27" i="9"/>
  <c r="K60" i="9" s="1"/>
  <c r="K29" i="9"/>
  <c r="K92" i="9" s="1"/>
  <c r="G31" i="9"/>
  <c r="G122" i="9" s="1"/>
  <c r="F29" i="9"/>
  <c r="F92" i="9" s="1"/>
  <c r="Z90" i="9"/>
  <c r="F19" i="20"/>
  <c r="G47" i="9"/>
  <c r="G30" i="9"/>
  <c r="G107" i="9" s="1"/>
  <c r="E19" i="20"/>
  <c r="Z46" i="9"/>
  <c r="F47" i="9"/>
  <c r="Z75" i="9"/>
  <c r="F28" i="9"/>
  <c r="J30" i="9"/>
  <c r="J107" i="9" s="1"/>
  <c r="J19" i="20"/>
  <c r="K47" i="9"/>
  <c r="Y31" i="20"/>
  <c r="G32" i="9"/>
  <c r="G137" i="9" s="1"/>
  <c r="G28" i="9"/>
  <c r="G77" i="9" s="1"/>
  <c r="I30" i="9"/>
  <c r="I107" i="9" s="1"/>
  <c r="F137" i="9" l="1"/>
  <c r="E38" i="2"/>
  <c r="H60" i="9"/>
  <c r="Z31" i="9"/>
  <c r="Z122" i="9" s="1"/>
  <c r="Z33" i="9"/>
  <c r="Z152" i="9" s="1"/>
  <c r="Z34" i="9"/>
  <c r="Z167" i="9" s="1"/>
  <c r="F122" i="9"/>
  <c r="E36" i="2"/>
  <c r="Z30" i="9"/>
  <c r="H36" i="2" s="1"/>
  <c r="Z28" i="9"/>
  <c r="H34" i="2" s="1"/>
  <c r="Z29" i="9"/>
  <c r="H35" i="2" s="1"/>
  <c r="Z32" i="9"/>
  <c r="J48" i="9"/>
  <c r="E34" i="2"/>
  <c r="E37" i="2"/>
  <c r="H27" i="2"/>
  <c r="K48" i="9"/>
  <c r="F77" i="9"/>
  <c r="Z47" i="9"/>
  <c r="E35" i="2"/>
  <c r="H30" i="2"/>
  <c r="Y19" i="20"/>
  <c r="G27" i="9"/>
  <c r="G48" i="9" s="1"/>
  <c r="Z59" i="9"/>
  <c r="F27" i="9"/>
  <c r="F60" i="9" s="1"/>
  <c r="I60" i="9"/>
  <c r="Z137" i="9" l="1"/>
  <c r="H38" i="2"/>
  <c r="Z107" i="9"/>
  <c r="H37" i="2"/>
  <c r="D26" i="23" s="1"/>
  <c r="Z60" i="9"/>
  <c r="Z27" i="9"/>
  <c r="AB27" i="9" s="1"/>
  <c r="D15" i="23"/>
  <c r="D23" i="23"/>
  <c r="G60" i="9"/>
  <c r="F48" i="9"/>
  <c r="Z92" i="9"/>
  <c r="Z77" i="9"/>
  <c r="D24" i="23"/>
  <c r="D16" i="23"/>
  <c r="D25" i="23"/>
  <c r="D17" i="23"/>
  <c r="G38" i="2" l="1"/>
  <c r="D27" i="23"/>
  <c r="G36" i="2"/>
  <c r="D18" i="23"/>
  <c r="D19" i="23"/>
  <c r="G34" i="2"/>
  <c r="G35" i="2"/>
  <c r="G37" i="2"/>
  <c r="AB28" i="9"/>
  <c r="H29" i="2"/>
  <c r="D9" i="23" l="1"/>
  <c r="F24" i="23" s="1"/>
  <c r="H24" i="23" s="1"/>
  <c r="E18" i="23" l="1"/>
  <c r="F18" i="23" s="1"/>
  <c r="H18" i="23" s="1"/>
  <c r="E27" i="23"/>
  <c r="E26" i="23"/>
  <c r="E17" i="23"/>
  <c r="F17" i="23" s="1"/>
  <c r="H17" i="23" s="1"/>
  <c r="F26" i="23"/>
  <c r="H26" i="23" s="1"/>
  <c r="E23" i="23"/>
  <c r="F27" i="23"/>
  <c r="H27" i="23" s="1"/>
  <c r="E25" i="23"/>
  <c r="E15" i="23"/>
  <c r="F15" i="23" s="1"/>
  <c r="H15" i="23" s="1"/>
  <c r="F23" i="23"/>
  <c r="H23" i="23" s="1"/>
  <c r="E16" i="23"/>
  <c r="F16" i="23" s="1"/>
  <c r="H16" i="23" s="1"/>
  <c r="E19" i="23"/>
  <c r="F19" i="23" s="1"/>
  <c r="H19" i="23" s="1"/>
  <c r="E24" i="23"/>
  <c r="F25" i="23"/>
  <c r="H25" i="23" s="1"/>
</calcChain>
</file>

<file path=xl/comments1.xml><?xml version="1.0" encoding="utf-8"?>
<comments xmlns="http://schemas.openxmlformats.org/spreadsheetml/2006/main">
  <authors>
    <author>Aass, Asle</author>
    <author>Ågotnes, Anders</author>
  </authors>
  <commentList>
    <comment ref="C11" authorId="0" shapeId="0">
      <text>
        <r>
          <rPr>
            <sz val="8"/>
            <color indexed="81"/>
            <rFont val="Tokahoma"/>
          </rPr>
          <t>Post
Registrer navnene på investeringspostene
Register navnet på driftsutgiftene</t>
        </r>
        <r>
          <rPr>
            <sz val="9"/>
            <color indexed="81"/>
            <rFont val="Arial"/>
            <family val="2"/>
          </rPr>
          <t xml:space="preserve">
</t>
        </r>
      </text>
    </comment>
    <comment ref="F11" authorId="0" shapeId="0">
      <text>
        <r>
          <rPr>
            <sz val="8"/>
            <color indexed="81"/>
            <rFont val="Tahoma"/>
            <family val="2"/>
          </rPr>
          <t xml:space="preserve">Antall enheter
Her fyller innkjøper inn antall enheter som forventes kjøpt inn </t>
        </r>
      </text>
    </comment>
    <comment ref="G11" authorId="0" shapeId="0">
      <text>
        <r>
          <rPr>
            <sz val="8"/>
            <color indexed="81"/>
            <rFont val="Tahoma"/>
            <family val="2"/>
          </rPr>
          <t>Enhetspriser
Her fyller innkjøper inn forventede eller historiske i enhetspriser</t>
        </r>
      </text>
    </comment>
    <comment ref="H11" authorId="0" shapeId="0">
      <text>
        <r>
          <rPr>
            <sz val="9"/>
            <color indexed="81"/>
            <rFont val="Tahoma"/>
            <family val="2"/>
          </rPr>
          <t>Forventet pris
Her, produktet av antall enheter og enhetspriser</t>
        </r>
      </text>
    </comment>
    <comment ref="G16" authorId="0" shapeId="0">
      <text>
        <r>
          <rPr>
            <sz val="8"/>
            <color indexed="81"/>
            <rFont val="Tahoma"/>
            <family val="2"/>
          </rPr>
          <t>Enhetspriser
Her fyller innkjøper inn forventede eller historiske i enhetspriser</t>
        </r>
      </text>
    </comment>
    <comment ref="F19" authorId="0" shapeId="0">
      <text>
        <r>
          <rPr>
            <sz val="9"/>
            <color indexed="81"/>
            <rFont val="Tahoma"/>
            <family val="2"/>
          </rPr>
          <t xml:space="preserve">Elforbruk per mil er satt til 2,5 kWh per mil
</t>
        </r>
      </text>
    </comment>
    <comment ref="G19" authorId="0" shapeId="0">
      <text>
        <r>
          <rPr>
            <sz val="9"/>
            <color indexed="81"/>
            <rFont val="Tahoma"/>
            <family val="2"/>
          </rPr>
          <t xml:space="preserve">Pris per kWh
</t>
        </r>
      </text>
    </comment>
    <comment ref="H29" authorId="1" shapeId="0">
      <text>
        <r>
          <rPr>
            <sz val="9"/>
            <color indexed="81"/>
            <rFont val="Tahoma"/>
            <family val="2"/>
          </rPr>
          <t>Sjekk at denne verdien er lik verdien i celle D34 i arkfanen Prisskjema</t>
        </r>
      </text>
    </comment>
  </commentList>
</comments>
</file>

<file path=xl/comments2.xml><?xml version="1.0" encoding="utf-8"?>
<comments xmlns="http://schemas.openxmlformats.org/spreadsheetml/2006/main">
  <authors>
    <author>Aass, Asle</author>
    <author>Ågotnes, Anders</author>
  </authors>
  <commentList>
    <comment ref="D11" authorId="0" shapeId="0">
      <text>
        <r>
          <rPr>
            <sz val="9"/>
            <color indexed="81"/>
            <rFont val="Tahoma"/>
            <family val="2"/>
          </rPr>
          <t>Antall enheter
Her skal tilbyder registrere de mengder som er nødvendig for at oppdragsgiver skal få dekket behovet 
I eksempelet har oppdragsgiver definert to maskiner, ett opplæringstiltak og to installasjoner som fast
Driftsutgifter som her, forbruk såpe og KwH strøm osv., oppgis av tilbyder</t>
        </r>
      </text>
    </comment>
    <comment ref="E11" authorId="0" shapeId="0">
      <text>
        <r>
          <rPr>
            <sz val="9"/>
            <color indexed="81"/>
            <rFont val="Tahoma"/>
            <family val="2"/>
          </rPr>
          <t>Enhetspriser (inkl.mva)
Her skal tilbyder skrive inn sine enhetspriser for de mengdene anskaffelsen omfatter</t>
        </r>
      </text>
    </comment>
    <comment ref="D20" authorId="0" shapeId="0">
      <text>
        <r>
          <rPr>
            <sz val="9"/>
            <color indexed="81"/>
            <rFont val="Tahoma"/>
            <family val="2"/>
          </rPr>
          <t xml:space="preserve">https://elbil.no/test-av-opel-ampera-e-35-mil-langt-og-godt-forsteinntrykk/
Etter at turen var tilbakelagt, viste kjørecomputeren et gjennomsnitt på 1,56 kWh/mil
</t>
        </r>
      </text>
    </comment>
    <comment ref="D34" authorId="1" shapeId="0">
      <text>
        <r>
          <rPr>
            <sz val="9"/>
            <color indexed="81"/>
            <rFont val="Tahoma"/>
            <family val="2"/>
          </rPr>
          <t>Sjekk at denne verdien er lik verdien i celle H29 i Planlegging og Evaluering</t>
        </r>
      </text>
    </comment>
  </commentList>
</comments>
</file>

<file path=xl/comments3.xml><?xml version="1.0" encoding="utf-8"?>
<comments xmlns="http://schemas.openxmlformats.org/spreadsheetml/2006/main">
  <authors>
    <author>Aass, Asle</author>
  </authors>
  <commentList>
    <comment ref="C5" authorId="0" shapeId="0">
      <text>
        <r>
          <rPr>
            <sz val="9"/>
            <color indexed="81"/>
            <rFont val="Tahoma"/>
            <family val="2"/>
          </rPr>
          <t>Navn på tilbyder
Her skal innkjøper registrere navnet på tilbyder</t>
        </r>
      </text>
    </comment>
    <comment ref="E13" authorId="0" shapeId="0">
      <text>
        <r>
          <rPr>
            <sz val="9"/>
            <color indexed="81"/>
            <rFont val="Tahoma"/>
            <family val="2"/>
          </rPr>
          <t xml:space="preserve">https://www.dinside.no/motor/her-er-prisen-pa-ford-focus-electric/61272915
</t>
        </r>
      </text>
    </comment>
    <comment ref="D20" authorId="0" shapeId="0">
      <text>
        <r>
          <rPr>
            <sz val="9"/>
            <color indexed="81"/>
            <rFont val="Tahoma"/>
            <family val="2"/>
          </rPr>
          <t xml:space="preserve">Forbruket hentet fra test, se https://elbil.no/test-av-ford-focus-en-sterkt-forbedret-elbil/
Fasiten viste et forbruk på 1,21 kWh/mil 
</t>
        </r>
      </text>
    </comment>
  </commentList>
</comments>
</file>

<file path=xl/comments4.xml><?xml version="1.0" encoding="utf-8"?>
<comments xmlns="http://schemas.openxmlformats.org/spreadsheetml/2006/main">
  <authors>
    <author>Aass, Asle</author>
  </authors>
  <commentList>
    <comment ref="E13" authorId="0" shapeId="0">
      <text>
        <r>
          <rPr>
            <sz val="9"/>
            <color indexed="81"/>
            <rFont val="Tahoma"/>
            <family val="2"/>
          </rPr>
          <t xml:space="preserve">http://www.tv2.no/a/8798610 
</t>
        </r>
      </text>
    </comment>
    <comment ref="D20" authorId="0" shapeId="0">
      <text>
        <r>
          <rPr>
            <sz val="9"/>
            <color indexed="81"/>
            <rFont val="Tahoma"/>
            <family val="2"/>
          </rPr>
          <t xml:space="preserve">https://elbil.no/test-av-opel-ampera-e-35-mil-langt-og-godt-forsteinntrykk/
Etter at turen var tilbakelagt, viste kjørecomputeren et gjennomsnitt på 1,56 kWh/mil
</t>
        </r>
      </text>
    </comment>
  </commentList>
</comments>
</file>

<file path=xl/comments5.xml><?xml version="1.0" encoding="utf-8"?>
<comments xmlns="http://schemas.openxmlformats.org/spreadsheetml/2006/main">
  <authors>
    <author>Aass, Asle</author>
  </authors>
  <commentList>
    <comment ref="E13" authorId="0" shapeId="0">
      <text>
        <r>
          <rPr>
            <sz val="9"/>
            <color indexed="81"/>
            <rFont val="Tahoma"/>
            <family val="2"/>
          </rPr>
          <t xml:space="preserve">https://www.nissan.no/biler/nye-biler/leaf/tilbud.html
</t>
        </r>
      </text>
    </comment>
    <comment ref="D20" authorId="0" shapeId="0">
      <text>
        <r>
          <rPr>
            <sz val="9"/>
            <color indexed="81"/>
            <rFont val="Tahoma"/>
            <family val="2"/>
          </rPr>
          <t xml:space="preserve">https://elbil.no/elbil/nissan-leaf/
Forbruk (blandet, kWh/mil, NEDC):1,5
</t>
        </r>
      </text>
    </comment>
  </commentList>
</comments>
</file>

<file path=xl/comments6.xml><?xml version="1.0" encoding="utf-8"?>
<comments xmlns="http://schemas.openxmlformats.org/spreadsheetml/2006/main">
  <authors>
    <author>Aass, Asle</author>
  </authors>
  <commentList>
    <comment ref="E13" authorId="0" shapeId="0">
      <text>
        <r>
          <rPr>
            <sz val="9"/>
            <color indexed="81"/>
            <rFont val="Tahoma"/>
            <family val="2"/>
          </rPr>
          <t xml:space="preserve">Nye Renault Zoe - Kampanjepris fra kr 229 400,- - renault.no‎
https://renault.no/elbil/zoe?gclid=EAIaIQobChMI_e_ds_Wf1gIVDJSyCh26MgQBEAAYAiAAEgK2tfD_BwE
</t>
        </r>
      </text>
    </comment>
    <comment ref="D20" authorId="0" shapeId="0">
      <text>
        <r>
          <rPr>
            <sz val="9"/>
            <color indexed="81"/>
            <rFont val="Tahoma"/>
            <family val="2"/>
          </rPr>
          <t xml:space="preserve">https://elbil.no/elbil/renault-zoe-ze-40/
Forbruk (blandet, kWh/mil, NEDC):1,33 </t>
        </r>
      </text>
    </comment>
  </commentList>
</comments>
</file>

<file path=xl/comments7.xml><?xml version="1.0" encoding="utf-8"?>
<comments xmlns="http://schemas.openxmlformats.org/spreadsheetml/2006/main">
  <authors>
    <author>Aass, Asle</author>
  </authors>
  <commentList>
    <comment ref="E13" authorId="0" shapeId="0">
      <text>
        <r>
          <rPr>
            <sz val="9"/>
            <color indexed="81"/>
            <rFont val="Tahoma"/>
            <family val="2"/>
          </rPr>
          <t xml:space="preserve">BMW i3 (22 og 33 kWh)
http://kontakt.bmw.no/bmw-i/?gclid=EAIaIQobChMIl-W_z_Wf1gIV0YKyCh1-Vg7XEAAYAiAAEgKVA_D_BwE&amp;gclsrc=aw.ds 
</t>
        </r>
      </text>
    </comment>
    <comment ref="D20" authorId="0" shapeId="0">
      <text>
        <r>
          <rPr>
            <sz val="9"/>
            <color indexed="81"/>
            <rFont val="Tahoma"/>
            <family val="2"/>
          </rPr>
          <t xml:space="preserve">Forbruket til merket er oppgitt til 1,29 kWh per mil.  Se https://elbil.no/elbil/bmw-i3/
</t>
        </r>
      </text>
    </comment>
  </commentList>
</comments>
</file>

<file path=xl/comments8.xml><?xml version="1.0" encoding="utf-8"?>
<comments xmlns="http://schemas.openxmlformats.org/spreadsheetml/2006/main">
  <authors>
    <author>Aass, Asle</author>
  </authors>
  <commentList>
    <comment ref="D6" authorId="0" shapeId="0">
      <text>
        <r>
          <rPr>
            <sz val="9"/>
            <color indexed="81"/>
            <rFont val="Tahoma"/>
            <family val="2"/>
          </rPr>
          <t xml:space="preserve">Pris
Legg inn hvilken vekt pris har i evalueringen av anskaffelsen
</t>
        </r>
      </text>
    </comment>
  </commentList>
</comments>
</file>

<file path=xl/sharedStrings.xml><?xml version="1.0" encoding="utf-8"?>
<sst xmlns="http://schemas.openxmlformats.org/spreadsheetml/2006/main" count="494" uniqueCount="202">
  <si>
    <t>Antall enheter</t>
  </si>
  <si>
    <t>Tilbud 1</t>
  </si>
  <si>
    <t>Tilbud 2</t>
  </si>
  <si>
    <t>Tilbud 3</t>
  </si>
  <si>
    <t>Innkjøpers plan</t>
  </si>
  <si>
    <t>Navn</t>
  </si>
  <si>
    <t>Kostpost</t>
  </si>
  <si>
    <t>Investeringskost 1</t>
  </si>
  <si>
    <t>Investeringskost 2</t>
  </si>
  <si>
    <t>Investeringskost 3</t>
  </si>
  <si>
    <t>Tilbud 4</t>
  </si>
  <si>
    <t>Øvrige resultater</t>
  </si>
  <si>
    <t>Tilbud 5</t>
  </si>
  <si>
    <t>Generelle poster</t>
  </si>
  <si>
    <t>Sum investeringskost</t>
  </si>
  <si>
    <t>Sum driftsutgifter</t>
  </si>
  <si>
    <t>Tilbud på</t>
  </si>
  <si>
    <t>Navn på tilbyder</t>
  </si>
  <si>
    <t>Underskrift, sted og dato</t>
  </si>
  <si>
    <t>Driftskostnader</t>
  </si>
  <si>
    <t>Rangering</t>
  </si>
  <si>
    <t>Nåverdi</t>
  </si>
  <si>
    <t>Prisjustering</t>
  </si>
  <si>
    <t>Investeringskostnader</t>
  </si>
  <si>
    <t>Levetid</t>
  </si>
  <si>
    <t>Tilbudenes K-strøm alle kostnader (diskontert til dagens verdier)</t>
  </si>
  <si>
    <t>Forventet tilbudspris</t>
  </si>
  <si>
    <t>Kontroll</t>
  </si>
  <si>
    <t>Sum utgifter i perioden</t>
  </si>
  <si>
    <t>Sum utgifter</t>
  </si>
  <si>
    <t>plan</t>
  </si>
  <si>
    <t>År 0</t>
  </si>
  <si>
    <t>År 1</t>
  </si>
  <si>
    <t>År 2</t>
  </si>
  <si>
    <t>År 3</t>
  </si>
  <si>
    <t>År 4</t>
  </si>
  <si>
    <t>År 5</t>
  </si>
  <si>
    <t>År 6</t>
  </si>
  <si>
    <t>År 7</t>
  </si>
  <si>
    <t>År 8</t>
  </si>
  <si>
    <t>År 9</t>
  </si>
  <si>
    <t>År 10</t>
  </si>
  <si>
    <t>År 11</t>
  </si>
  <si>
    <t>År 12</t>
  </si>
  <si>
    <t>År 13</t>
  </si>
  <si>
    <t>År 14</t>
  </si>
  <si>
    <t>År 15</t>
  </si>
  <si>
    <t>År 16</t>
  </si>
  <si>
    <t>År 17</t>
  </si>
  <si>
    <t>År 18</t>
  </si>
  <si>
    <t>År 19</t>
  </si>
  <si>
    <t>År 20</t>
  </si>
  <si>
    <t>Tap (-) / Gevinst (+)</t>
  </si>
  <si>
    <t>=</t>
  </si>
  <si>
    <t>Arkfane</t>
  </si>
  <si>
    <t>Beskrivelse</t>
  </si>
  <si>
    <t>Forside</t>
  </si>
  <si>
    <t>Begreper</t>
  </si>
  <si>
    <t>Planlegging og Evaluering</t>
  </si>
  <si>
    <t>Prisskjema</t>
  </si>
  <si>
    <t>Prisskjema til utsending i anbudsfasen</t>
  </si>
  <si>
    <t>Oppfølging</t>
  </si>
  <si>
    <t>Anvendes til å følge opp kontrakten mot innkomne fakturerte priser</t>
  </si>
  <si>
    <t>ANALYSE- OG OPPFØLGINGSARK</t>
  </si>
  <si>
    <t>BEREGNINGER</t>
  </si>
  <si>
    <t>Motor</t>
  </si>
  <si>
    <t>Resultat og rangering</t>
  </si>
  <si>
    <t>Livssyklus</t>
  </si>
  <si>
    <t>Steg</t>
  </si>
  <si>
    <t>Aktivitet</t>
  </si>
  <si>
    <t>Status</t>
  </si>
  <si>
    <t>Skjema</t>
  </si>
  <si>
    <t>Resultater og rangering</t>
  </si>
  <si>
    <t>Under følger tilbydernes nominelle kontantstrømmer</t>
  </si>
  <si>
    <t>OPPFØLGING AV INNGÅTT KONTRAKT</t>
  </si>
  <si>
    <t>SCORE</t>
  </si>
  <si>
    <t>Total kost</t>
  </si>
  <si>
    <t>Tilbud</t>
  </si>
  <si>
    <t>Score</t>
  </si>
  <si>
    <t>Beste pristilbud</t>
  </si>
  <si>
    <t>Vekt pris skal ha i evalueringen</t>
  </si>
  <si>
    <t>Differanse pris</t>
  </si>
  <si>
    <t>Lineær beregning</t>
  </si>
  <si>
    <t>Forholdsmessig beregning</t>
  </si>
  <si>
    <t>Maks poeng</t>
  </si>
  <si>
    <t>Maks vektet score</t>
  </si>
  <si>
    <t>Poeng</t>
  </si>
  <si>
    <t>Bruk av modell, henvisning til rett skjema og arkfane</t>
  </si>
  <si>
    <t>Dagens kroneverdi (justert med kalkulasjonsrente)</t>
  </si>
  <si>
    <t>Sum</t>
  </si>
  <si>
    <t xml:space="preserve"> nåverdi investeringer</t>
  </si>
  <si>
    <t>nåverdi drift</t>
  </si>
  <si>
    <t>Sum (nåverdi)</t>
  </si>
  <si>
    <t xml:space="preserve">Sum </t>
  </si>
  <si>
    <t>Kontroll (skal være null)</t>
  </si>
  <si>
    <t>Sum nåverdi</t>
  </si>
  <si>
    <t>Kalkulasjonsark med alle beregninger som også gir detaljert innsikt i tilbudene.</t>
  </si>
  <si>
    <t>Disse variablene er satt av innkjøper og må ikke endres</t>
  </si>
  <si>
    <t>Tilbud på:</t>
  </si>
  <si>
    <t>Navn på tilbyder:</t>
  </si>
  <si>
    <t>Oversikt over arkfaner</t>
  </si>
  <si>
    <t>Diskonterte verdier (Nåverdi)</t>
  </si>
  <si>
    <t>Navn på post</t>
  </si>
  <si>
    <t>Denne siden</t>
  </si>
  <si>
    <t xml:space="preserve">Begrepsforklaringer </t>
  </si>
  <si>
    <t>Innkjøpernes hovedark til planlegging og evaluering</t>
  </si>
  <si>
    <t>Enheter</t>
  </si>
  <si>
    <t>Produktets levetid i hele år</t>
  </si>
  <si>
    <t>Registrering av leverandør og pris for tilbud 1</t>
  </si>
  <si>
    <t>Registrering av leverandør og pris for tilbud 2</t>
  </si>
  <si>
    <t>Registrering av leverandør og pris for tilbud 3</t>
  </si>
  <si>
    <t>Registrering av leverandør og pris for tilbud 4</t>
  </si>
  <si>
    <t>Registrering av leverandør og pris for tilbud 5</t>
  </si>
  <si>
    <t>Årlig prisjustering</t>
  </si>
  <si>
    <t>Investering (nåverdi)</t>
  </si>
  <si>
    <t>Drift (nåverdi)</t>
  </si>
  <si>
    <t>Avhending (nåverdi)</t>
  </si>
  <si>
    <t>sum nåverdi</t>
  </si>
  <si>
    <t>Tilbud 6</t>
  </si>
  <si>
    <t>Tilbud 7</t>
  </si>
  <si>
    <t>nåverdi avhending</t>
  </si>
  <si>
    <t>Kalkulasjonsrente</t>
  </si>
  <si>
    <t>Finansdepartementets rundskriv R/109 2014, risikojustert rente er satt til 4,0 %</t>
  </si>
  <si>
    <t>Begrepsforklaringer</t>
  </si>
  <si>
    <t>Nåverdi til kontroll (se rad 59)</t>
  </si>
  <si>
    <t>Tilbydernes prisskjema
Tilbud 1 til Tilbud 7</t>
  </si>
  <si>
    <t>Registrering av leverandør og pris for tilbud 6</t>
  </si>
  <si>
    <t>Registrering av leverandør og pris for tilbud 7</t>
  </si>
  <si>
    <t>sum nominell verdi</t>
  </si>
  <si>
    <t>Leverandørnavn</t>
  </si>
  <si>
    <t>Livssykluskostnader</t>
  </si>
  <si>
    <t>Bil med sommer og vinterdekk</t>
  </si>
  <si>
    <t>Ekstrautstyr: automatgir og ryggesensor</t>
  </si>
  <si>
    <t>Andre investeringskostnader</t>
  </si>
  <si>
    <t>Forsikring</t>
  </si>
  <si>
    <t>Reparasjon og vedlikehold</t>
  </si>
  <si>
    <t>Forbruk (kjørelengde 1 400 mil årlig forbruk fra spekk/test)</t>
  </si>
  <si>
    <t>Årsavgift</t>
  </si>
  <si>
    <t>Andre driftskostnader</t>
  </si>
  <si>
    <t>Salgsverdi</t>
  </si>
  <si>
    <t>Ford Focus Electric</t>
  </si>
  <si>
    <t>Opel Ampera-e</t>
  </si>
  <si>
    <t>Kjøp av null-utslippsbiler</t>
  </si>
  <si>
    <t xml:space="preserve">Kjøp av null-utslippsbiler </t>
  </si>
  <si>
    <t>Nissan Leaf</t>
  </si>
  <si>
    <t>Renault Zoe R90 Z.E. 40</t>
  </si>
  <si>
    <t>BMW i3 (22 og 33 kWh)</t>
  </si>
  <si>
    <t>Avhendingsutgifter - salgsinntekter</t>
  </si>
  <si>
    <t>LIVSSYKLUSKOSTNADER I ANSKAFFELSER</t>
  </si>
  <si>
    <t>LIVSSYKLUSKOSTNADER STEG FOR STEG</t>
  </si>
  <si>
    <t>KJØP AV NULLUTSLIPPSBILER</t>
  </si>
  <si>
    <t>Steg for steg</t>
  </si>
  <si>
    <t>INNDATAARK</t>
  </si>
  <si>
    <t>INFOARK</t>
  </si>
  <si>
    <t>Kostnader til demontering gjenvinning, destruksjon, deponi, bort-transport etc. Dersom det er overskudd ved avhending, eksempelvis ved salg, skal dette skrives inn som negativt tall.</t>
  </si>
  <si>
    <t xml:space="preserve">Kostnader til kjøp, installasjon, prøvedrift, testing, brukermanualer, opplæring, etc. </t>
  </si>
  <si>
    <t>&lt;Fyll inn navn på firma her&gt;</t>
  </si>
  <si>
    <t>Avhendingskostnader / restverdier</t>
  </si>
  <si>
    <t>Avhendingskostnader/restverdier</t>
  </si>
  <si>
    <t>Nåverdi avhendingskostnader/restverdier</t>
  </si>
  <si>
    <t>Andre investeringskostnader (forsikring, reparasjon og årsvgift inkl.av tilbyder)</t>
  </si>
  <si>
    <t>PRISSKJEMA (inklusiv merverdiavgift)</t>
  </si>
  <si>
    <t>INNKOMNE PRISER (inklusiv merverdiavgift)</t>
  </si>
  <si>
    <t>Nissan leaf</t>
  </si>
  <si>
    <t>Kontrakt (inklusiv merverdiavgift)</t>
  </si>
  <si>
    <t>Faktura  (inklusiv merverdiavgift)</t>
  </si>
  <si>
    <t>Enhetspriser (inkl.mva)</t>
  </si>
  <si>
    <t>Livssykluskostnader (en: Life Cycle Cost (LCC)) er alle kostnader gjennom livsløpet til et produkt.
Kostnader oppdragsgiver eller andre brukere dekker, samt kostnader som skyldes miljøbelastning tas med om de kan tallfestes, ref. FOA § 18-2 Beregning av livslykluskostnader.</t>
  </si>
  <si>
    <t>Kalkulasjonsrente er den renten som benyttes i livsløpskalkylen.</t>
  </si>
  <si>
    <t>Vekst i driftskostnadene i levetiden. Modellen forutsetter fast vekstrate.</t>
  </si>
  <si>
    <t>MOTOR FOR BEREGNING AV LIVSSYKLUSKOSTNADER</t>
  </si>
  <si>
    <t>Produktets levetid</t>
  </si>
  <si>
    <t>Kostnader til daglig drift av kjøpet</t>
  </si>
  <si>
    <t>Dagens verdi av et fremtidig beløp</t>
  </si>
  <si>
    <t>Alle faser i hele varens, tjenestens eller bygge- og anleggsarbeidets levetid fra anskaffelsen av råvarer eller opparbeidingen av ressurser, til avhendingen, kasseringen eller opphøret. Dette inkluderer blant annet forskning og utvikling, produksjon, handel, transport, bruk og vedlikehold, ref. FOA § 4-5 Andre definisjoner.</t>
  </si>
  <si>
    <t>Tilbyders livssykluskostnader</t>
  </si>
  <si>
    <t>Understående tabeller viser hvordan oppdragsgiver beregner nåverdi av inngitt tilbud på bakgrunn av de priser som er oppgitt i prisskjema.
Tilbyders livssykluskostnader er den verdien som vil bli anvendt i evaluering av tilbudet.</t>
  </si>
  <si>
    <t>Driftsutgift 1 (per år)</t>
  </si>
  <si>
    <t>Driftsutgift 2 (per år)</t>
  </si>
  <si>
    <t>Driftsutgift 3 ((per år)</t>
  </si>
  <si>
    <t>Driftsutgift 4 (per år)</t>
  </si>
  <si>
    <t>Driftsutgift 5 (per år)</t>
  </si>
  <si>
    <t>Driftsutgift 3 (per år)</t>
  </si>
  <si>
    <t>Justert prisstigning</t>
  </si>
  <si>
    <t xml:space="preserve">Justert_prisstigningsfaktor </t>
  </si>
  <si>
    <t>Årlig Justert_prisstigning</t>
  </si>
  <si>
    <t>Norges Banks inflasjonsmål</t>
  </si>
  <si>
    <r>
      <rPr>
        <b/>
        <sz val="12"/>
        <color theme="1"/>
        <rFont val="Arial"/>
        <family val="2"/>
      </rPr>
      <t>Registrering av generelle poster</t>
    </r>
    <r>
      <rPr>
        <sz val="12"/>
        <color theme="1"/>
        <rFont val="Arial"/>
        <family val="2"/>
      </rPr>
      <t xml:space="preserve">
Arket Planlegging og Evaluering anvendes til å registrere grunndata og til å få oversikt over anskaffelsens omfang. Arkfanen viser også resultatene av konkurransen og rangerer tilbudene.
Det første steget er å registrere anskaffelsens navn, levetid, kalkulasjonsrente og årlig prisjustering. Dette gjøres i arkfanen "Planlegging og Evaluering". Se skjemaet generelle poster i arkfanen "Planlegging og Evaluering". Anskaffelsen navn registreres i grått felt celle B2 øverst i arkfanen.
Postene du registrerer inn brukes i de øvrige arkene og inkluderes i prisskjema som sendes ut til leverandørene.
</t>
    </r>
  </si>
  <si>
    <r>
      <rPr>
        <b/>
        <sz val="12"/>
        <color theme="1"/>
        <rFont val="Arial"/>
        <family val="2"/>
      </rPr>
      <t>Analyse av kostnader</t>
    </r>
    <r>
      <rPr>
        <sz val="12"/>
        <color theme="1"/>
        <rFont val="Arial"/>
        <family val="2"/>
      </rPr>
      <t xml:space="preserve">
Det kan registreres inntil tre investerings- og fem driftsposter samt én avhendingspost. Driftspostene registreres i dagens kroneverdier og påløper årlig ut levetiden. Husk at beløpene skal registreres inklusiv merverdiavgift. Beregningsmodellen henfører investeringene til år null, og kostnader til avhending henføres til siste år i livssyklusen.
Hver post gis eget navn, ett valgt antall enheter og pris per enhet. Vær oppmerksom på at alle opplysninger som legges inn i innkjøpers plan automatisk overføres til arkfanen "Prisskjema" som skal sendes ut til leverandørene.
Årlige kostnader og nåverdier regnes ut automatisk. 
</t>
    </r>
  </si>
  <si>
    <r>
      <rPr>
        <b/>
        <sz val="12"/>
        <color theme="1"/>
        <rFont val="Arial"/>
        <family val="2"/>
      </rPr>
      <t>Konkurransegjennomføring</t>
    </r>
    <r>
      <rPr>
        <sz val="12"/>
        <color theme="1"/>
        <rFont val="Arial"/>
        <family val="2"/>
      </rPr>
      <t xml:space="preserve">
Arket Prisskjema sendes ut til tilbyderne. Prisskjemaet kan også anvendes av tilbyderne til å få oversikt over modellens beregnede livssykluskostnader.
Til konkurransegjennomføringen er det laget et prisskjema som kan sendes ut til tilbyderne. Prisskjemaet fylles ut automatisk på bakgrunn av det du har skrevet i skjemaet "Innkjøpers plan". Før utsendelse av prisskjema i en konkurranse må du:
1) Opprett prisskjema som en selvstendig arbeidsbok
2) Slett den informasjonen som du ikke ønsker skal sendes ut til tilbydere. Dette gjelder særlig planlagte priser
Hensikten med skjemaet er å vise hvilke poster som legges til grunn for evalueringen og hvordan dataene blir behandlet.
Prisskjemaet inneholder samme nåverdiberegningsmetode med samme variabler som er brukt ved planlegging av modellen. Dette gjør at leverandøren kan planlegge på samme måte som innkjøper og ser det beløpet han vil bli evaluert på før levering av tilbud. Husk at beløpene er inklusiv merverdiavgift.
NB! Før du går videre: Sjekk om du har anvendt arket Prisskjema korrekt. Dette gjør du ved å legge inn de samme prisene og mengdene i Planlegging Evaluering som i arket Prisskjema. Deretter sjekker du om livssykluskostnadene i celle D34 i arket Prisskjema har lik sum som nåverdien i celle H29 i arket Planlegging og Evaluering. Er disse like, er modellen forutberegnelig.</t>
    </r>
  </si>
  <si>
    <r>
      <rPr>
        <b/>
        <sz val="12"/>
        <color theme="1"/>
        <rFont val="Arial"/>
        <family val="2"/>
      </rPr>
      <t xml:space="preserve">Mottak av tilbud </t>
    </r>
    <r>
      <rPr>
        <sz val="12"/>
        <color theme="1"/>
        <rFont val="Arial"/>
        <family val="2"/>
      </rPr>
      <t xml:space="preserve">
Arkene Tilbud 1 til Tilbud 7 anvendes av innkjøper til å registrere innkomne tilbudspriser.
Ved mottak av tilbud er modellen lagt opp slik at tilbyders innlevering av prisskjema kan limes rett inn i arkfanene som heter Tilbud 1, Tilbud 2, 3, 4, 5, 6 og 7. 
Overføring av tilbydernes priser til LCC-modellen utføres ved å kopiere cellene B5:F25 i innsendt prisskjema fra tilbyder 1 og lime dette inn som verdier i samme celler i "Tilbud 1" i modellen. Da vil tilbyders navn og priser inklusiv merverdiavgift bli registrert. Dette gjentas så for tilbud 2 til alle tilbyderne har fått sine priser registrert inn i skjemaet. Alternativt kan tilbydernes prisinformasjon skrives inn manuelt.
Registrerte priser beregnes automatisk i arkfanen "Motor" og resultatene vises i arkfanen "Planlegging og Evaluering". Husk å registrer navn på tilbyderne da informasjonen benyttes i beregninger.</t>
    </r>
  </si>
  <si>
    <r>
      <rPr>
        <b/>
        <sz val="12"/>
        <color theme="1"/>
        <rFont val="Arial"/>
        <family val="2"/>
      </rPr>
      <t>Evaluering av resultat</t>
    </r>
    <r>
      <rPr>
        <sz val="12"/>
        <color theme="1"/>
        <rFont val="Arial"/>
        <family val="2"/>
      </rPr>
      <t xml:space="preserve">
Arket Planlegging og Evaluering anvendes for å få oversikt over rangeringen av tilbudene og totale livssykluskostnader.
Etter mottak av tilbud og registrering av informasjon kommer resultatet automatisk i arkfanen "Planlegging og Evaluering". Skjemaet i arkfanen heter Resultater og Rangering og viser billigste tilbud som nr.1 i grønt. Dersom du har færre enn 7 tilbud må du slette de radene som ikke er i bruk for at rangeringsfunksjoner og grafer skal fungere riktig. Dersom du har flere enn syv tilbud bruker du to filer og sammenligner nåverdiene manuelt.</t>
    </r>
  </si>
  <si>
    <r>
      <rPr>
        <b/>
        <sz val="12"/>
        <color theme="1"/>
        <rFont val="Arial"/>
        <family val="2"/>
      </rPr>
      <t>Risikoer og usikkerheter</t>
    </r>
    <r>
      <rPr>
        <sz val="12"/>
        <color theme="1"/>
        <rFont val="Arial"/>
        <family val="2"/>
      </rPr>
      <t xml:space="preserve">
Modellen er utviklet for enklere LCC-beregninger og har flere forutsetninger. De viktigste er at modellen bruker samme rente i hele livssyklusen og at driftskostnadene har lik vekstrate hvert år. Investeringskostnadene faller i år 0, driftskostnader fra år 1 og Avhendingskostnadene i levetidens siste år. Før modellen tas i bruk må du derfor vurdere om den er egnet for din anskaffelse.
Definisjonene og beregningene er laget iht. standarder og beste praksis. Modellen er utviklet i Excel, og er derfor sårbar for feilføringer og innebygde svakheter i formler. Vær derfor oppmerksom ved bruk, og vurder nøye om alt er riktig.
NB! Sjekk at du har brukt modellen riktig. Den viktigste kvalitetskontrollen er at nåverdiene oppgitt i arket Plan og Evaluering (celle H29) er lik summen oppgitt i celle D38 i arket Prisskjema. Er summene like er forutberegneligheten ivaretatt.
Feil meldes postmottak@difi.no</t>
    </r>
  </si>
  <si>
    <t xml:space="preserve">Prisjustering i kontrakt (inflasjonsmålet som oppgitt i Motor) </t>
  </si>
  <si>
    <t>Kontantstrøm</t>
  </si>
  <si>
    <t>&lt;Navn på anskaffelse&gt;</t>
  </si>
  <si>
    <t>Diskontert til dagens verdier</t>
  </si>
  <si>
    <t xml:space="preserve">Versjon Desember 2017: </t>
  </si>
  <si>
    <t xml:space="preserve">Forsikre deg om at du har den siste versjonen av verktøyet </t>
  </si>
  <si>
    <t xml:space="preserve">Livssykluskostnader (LCC) er alle de kostnadene anskaffelsen genererer i hele levetiden. Dette inkluderer investeringskostnader og kostnader til forvaltning, drift, vedlikehold, utvikling, samt kostander ved avhending (evt. inntekt fra restverdi).
LCC-modellen er utviklet som et hjelpeverktøy for å ivareta LOA §5 sitt krav om å ta hensyn til livssykluskostnader. Hensikten med verktøyet er å beregne hvilke løsninger eller tilbud som lønner seg når man tar hensyn til totalkostnadene.
Modellen er utviklet for enkle anskaffelser, som innkjøp av datautstyr, kopimaskiner, kjøretøyer eller lignende. Modellen er lagt opp til at: (1) investeringskostnaden skjer i periode null, (2) driftsutgiftene løper hele livsløpet, (3) kostnader ved avhendingen (evt. inntekt fra restverdi) skjer ved levetidens slutt. Videre forutsettes det at:              
- Alle priser og beløp er inklusiv merverdiavgift
- Alle driftsutgiftene stiger i samme takt som den årlige prisjusteringen
- Levetiden til anskaffelsen ikke overstiger 20 år, og at kostnadene kan oppgis per år                                                                    (Dersom levetid ikke overstiger 4 år kan du velge å bruke versjonen hvor kostnad oppgis per mnd.). 
                                                                                                                                                                                                             LCC-verktøyet håndterer:  
- Opptil 7 tilbud, med rangering av laveste totale livssykluskostnader
- Opptil tre investeringsposter, fem driftsposter og en avhendingspost
Dette er et verktøy for bruk i planlegging, konkurransegjennomføring og kontraktsoppfølging. Den har et prisskjema til bruk som vedlegg i konkurransegrunnlaget og kan anvendes til evalueringen av pris på innkomne tilbud. Modellen inneholder også et verktøy for oppfølging av inngåtte kontrakter.
Veiledningen til modellen finner du i arkfanen "Steg for steg". Du finner forklaringer ved siden av alle tabellene samt informasjon som merknader til enkelte celler.
Det er viktig at du som innkjøper selv påser at alle relevante kostnader inkluderes i beregningene, og kvalitetssikrer de endelige resultatene. 
</t>
  </si>
  <si>
    <r>
      <rPr>
        <b/>
        <sz val="12"/>
        <color theme="1"/>
        <rFont val="Arial"/>
        <family val="2"/>
      </rPr>
      <t>Kontraktsoppfølging</t>
    </r>
    <r>
      <rPr>
        <sz val="12"/>
        <color theme="1"/>
        <rFont val="Arial"/>
        <family val="2"/>
      </rPr>
      <t xml:space="preserve">
Arkfanen "Oppfølging" anvendes til å kontrollere at faktisk fakturerte beløp svarer til vilkårene i kontrakten.
Ved å registrere vinneren av konkurransen sitt firmanavn i celle B9, hentes detaljert prisjustert kontantstrøm slik den fremkommer av tilbudet inn i skjema som heter Kontrakt. Det er viktig at firmanavnet staves helt korrekt. Det kan derfor være lurt å kopiere det inn som verdi fra tilbudet. Ved oppfølging av kontrakten føres utbetalte beløp i skjema Faktura.
I en konkurranse er det tilbyderen som etter en totalvurdering av livslykluskostnader, gjennomføringstid, kvalitets- og miljøkriterier som vinner konkurransen.  Vær klar over at i arkfanen Planlegging og Evaluering kun rangeres etter laveste livssykluskostnad.</t>
    </r>
  </si>
  <si>
    <t>Velkommen til Difis modell for beregning av livssykluskostnader i anskaffelser!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</si>
</sst>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quot;kr&quot;\ * #,##0_ ;_ &quot;kr&quot;\ * \-#,##0_ ;_ &quot;kr&quot;\ * &quot;-&quot;_ ;_ @_ "/>
    <numFmt numFmtId="165" formatCode="_ &quot;kr&quot;\ * #,##0.00_ ;_ &quot;kr&quot;\ * \-#,##0.00_ ;_ &quot;kr&quot;\ * &quot;-&quot;??_ ;_ @_ "/>
    <numFmt numFmtId="166" formatCode="_ * #,##0.00_ ;_ * \-#,##0.00_ ;_ * &quot;-&quot;??_ ;_ @_ "/>
    <numFmt numFmtId="167" formatCode="_ * #,##0_ ;_ * \-#,##0_ ;_ * &quot;-&quot;??_ ;_ @_ "/>
    <numFmt numFmtId="168" formatCode="0.0\ %"/>
    <numFmt numFmtId="169" formatCode="#,##0_ ;\-#,##0\ "/>
    <numFmt numFmtId="170" formatCode="_ &quot;kr&quot;\ * #,##0_ ;_ &quot;kr&quot;\ * \-#,##0_ ;_ &quot;kr&quot;\ * &quot;-&quot;??_ ;_ @_ "/>
    <numFmt numFmtId="171" formatCode="_ * #,##0.0_ ;_ * \-#,##0.0_ ;_ * &quot;-&quot;??_ ;_ @_ "/>
    <numFmt numFmtId="172" formatCode="0.0"/>
    <numFmt numFmtId="173" formatCode="_ * #,##0.0000_ ;_ * \-#,##0.0000_ ;_ * &quot;-&quot;??_ ;_ @_ "/>
    <numFmt numFmtId="174" formatCode="#,##0&quot; år&quot;"/>
    <numFmt numFmtId="175" formatCode="_ &quot;kr&quot;\ * #,##0.00_ ;_ &quot;kr&quot;\ * \-#,##0.00_ ;_ &quot;kr&quot;\ * &quot;-&quot;_ ;_ @_ "/>
  </numFmts>
  <fonts count="39">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0"/>
      <name val="Arial"/>
      <family val="2"/>
    </font>
    <font>
      <i/>
      <sz val="11"/>
      <color theme="1"/>
      <name val="Arial"/>
      <family val="2"/>
    </font>
    <font>
      <sz val="9"/>
      <color indexed="81"/>
      <name val="Tahoma"/>
      <family val="2"/>
    </font>
    <font>
      <b/>
      <sz val="10"/>
      <color theme="1"/>
      <name val="Arial"/>
      <family val="2"/>
    </font>
    <font>
      <sz val="11"/>
      <color rgb="FF000000"/>
      <name val="Arial"/>
      <family val="2"/>
    </font>
    <font>
      <sz val="8"/>
      <color indexed="81"/>
      <name val="Tahoma"/>
      <family val="2"/>
    </font>
    <font>
      <b/>
      <sz val="10"/>
      <color theme="1"/>
      <name val="Tahoma"/>
      <family val="2"/>
    </font>
    <font>
      <sz val="10"/>
      <color theme="1"/>
      <name val="Tahoma"/>
      <family val="2"/>
    </font>
    <font>
      <sz val="10"/>
      <color theme="1"/>
      <name val="Arial"/>
      <family val="2"/>
    </font>
    <font>
      <sz val="10"/>
      <color rgb="FF000000"/>
      <name val="Arial"/>
      <family val="2"/>
    </font>
    <font>
      <i/>
      <sz val="10"/>
      <color theme="1"/>
      <name val="Arial"/>
      <family val="2"/>
    </font>
    <font>
      <i/>
      <u val="singleAccounting"/>
      <sz val="10"/>
      <color theme="1"/>
      <name val="Arial"/>
      <family val="2"/>
    </font>
    <font>
      <b/>
      <sz val="10"/>
      <color theme="0"/>
      <name val="Arial"/>
      <family val="2"/>
    </font>
    <font>
      <sz val="9"/>
      <color indexed="81"/>
      <name val="Arial"/>
      <family val="2"/>
    </font>
    <font>
      <sz val="8"/>
      <color indexed="81"/>
      <name val="Tokahoma"/>
    </font>
    <font>
      <sz val="10"/>
      <color theme="0"/>
      <name val="Arial"/>
      <family val="2"/>
    </font>
    <font>
      <b/>
      <i/>
      <sz val="10"/>
      <color theme="0"/>
      <name val="Arial"/>
      <family val="2"/>
    </font>
    <font>
      <sz val="10"/>
      <color theme="0" tint="-0.14999847407452621"/>
      <name val="Arial"/>
      <family val="2"/>
    </font>
    <font>
      <b/>
      <sz val="11"/>
      <color theme="0"/>
      <name val="Arial"/>
      <family val="2"/>
    </font>
    <font>
      <u/>
      <sz val="11"/>
      <color theme="10"/>
      <name val="Calibri"/>
      <family val="2"/>
      <scheme val="minor"/>
    </font>
    <font>
      <sz val="10"/>
      <color theme="1"/>
      <name val="Calibri"/>
      <family val="2"/>
      <scheme val="minor"/>
    </font>
    <font>
      <sz val="12"/>
      <color theme="1"/>
      <name val="Arial"/>
      <family val="2"/>
    </font>
    <font>
      <i/>
      <sz val="10"/>
      <color rgb="FFFF0000"/>
      <name val="Arial"/>
      <family val="2"/>
    </font>
    <font>
      <b/>
      <sz val="12"/>
      <color rgb="FFFF0000"/>
      <name val="Arial"/>
      <family val="2"/>
    </font>
    <font>
      <b/>
      <sz val="18"/>
      <color theme="0"/>
      <name val="Arial"/>
      <family val="2"/>
    </font>
    <font>
      <b/>
      <sz val="14"/>
      <color rgb="FF00CCFF"/>
      <name val="Arial"/>
      <family val="2"/>
    </font>
    <font>
      <b/>
      <sz val="12"/>
      <color theme="1"/>
      <name val="Tahoma"/>
      <family val="2"/>
    </font>
    <font>
      <b/>
      <sz val="12"/>
      <color theme="1"/>
      <name val="Arial"/>
      <family val="2"/>
    </font>
    <font>
      <sz val="12"/>
      <color theme="1"/>
      <name val="Tahoma"/>
      <family val="2"/>
    </font>
    <font>
      <sz val="12"/>
      <color theme="1"/>
      <name val="Calibri"/>
      <family val="2"/>
      <scheme val="minor"/>
    </font>
    <font>
      <sz val="12"/>
      <color theme="0"/>
      <name val="Arial"/>
      <family val="2"/>
    </font>
    <font>
      <sz val="12"/>
      <name val="Arial"/>
      <family val="2"/>
    </font>
    <font>
      <b/>
      <sz val="16"/>
      <color theme="0"/>
      <name val="Arial"/>
      <family val="2"/>
    </font>
    <font>
      <sz val="12"/>
      <color rgb="FF000000"/>
      <name val="Arial"/>
      <family val="2"/>
    </font>
    <font>
      <b/>
      <sz val="11"/>
      <name val="Arial"/>
      <family val="2"/>
    </font>
  </fonts>
  <fills count="13">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54B948"/>
        <bgColor indexed="64"/>
      </patternFill>
    </fill>
    <fill>
      <patternFill patternType="solid">
        <fgColor rgb="FF5F5F5F"/>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rgb="FF000066"/>
        <bgColor indexed="64"/>
      </patternFill>
    </fill>
    <fill>
      <patternFill patternType="solid">
        <fgColor rgb="FFF0E6D8"/>
        <bgColor indexed="64"/>
      </patternFill>
    </fill>
    <fill>
      <patternFill patternType="solid">
        <fgColor rgb="FF00CCFF"/>
        <bgColor indexed="64"/>
      </patternFill>
    </fill>
    <fill>
      <patternFill patternType="solid">
        <fgColor rgb="FF1C75DA"/>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theme="0"/>
      </bottom>
      <diagonal/>
    </border>
    <border>
      <left/>
      <right style="hair">
        <color indexed="64"/>
      </right>
      <top style="hair">
        <color theme="0"/>
      </top>
      <bottom style="hair">
        <color theme="0"/>
      </bottom>
      <diagonal/>
    </border>
    <border>
      <left/>
      <right style="hair">
        <color indexed="64"/>
      </right>
      <top/>
      <bottom style="hair">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hair">
        <color auto="1"/>
      </top>
      <bottom style="hair">
        <color auto="1"/>
      </bottom>
      <diagonal/>
    </border>
    <border>
      <left/>
      <right/>
      <top/>
      <bottom style="double">
        <color indexed="64"/>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Protection="0">
      <alignment vertical="center"/>
    </xf>
    <xf numFmtId="0" fontId="1" fillId="0" borderId="0"/>
    <xf numFmtId="0" fontId="23" fillId="0" borderId="0" applyNumberFormat="0" applyFill="0" applyBorder="0" applyAlignment="0" applyProtection="0"/>
  </cellStyleXfs>
  <cellXfs count="297">
    <xf numFmtId="0" fontId="0" fillId="0" borderId="0" xfId="0"/>
    <xf numFmtId="0" fontId="0" fillId="2" borderId="0" xfId="0" applyFill="1"/>
    <xf numFmtId="167" fontId="2" fillId="2" borderId="0" xfId="1" applyNumberFormat="1" applyFont="1" applyFill="1"/>
    <xf numFmtId="167" fontId="2" fillId="2" borderId="0" xfId="1" applyNumberFormat="1" applyFont="1" applyFill="1" applyBorder="1"/>
    <xf numFmtId="167" fontId="2" fillId="2" borderId="0" xfId="1" applyNumberFormat="1" applyFont="1" applyFill="1" applyAlignment="1">
      <alignment vertical="center"/>
    </xf>
    <xf numFmtId="167" fontId="3" fillId="3" borderId="0" xfId="1" applyNumberFormat="1" applyFont="1" applyFill="1" applyBorder="1" applyAlignment="1">
      <alignment horizontal="center" vertical="center" wrapText="1"/>
    </xf>
    <xf numFmtId="167" fontId="2" fillId="2" borderId="0" xfId="1" applyNumberFormat="1" applyFont="1" applyFill="1" applyBorder="1" applyAlignment="1">
      <alignment horizontal="center" vertical="center"/>
    </xf>
    <xf numFmtId="164" fontId="2" fillId="2" borderId="3" xfId="2" applyNumberFormat="1" applyFont="1" applyFill="1" applyBorder="1" applyAlignment="1">
      <alignment horizontal="left" vertical="center" indent="2"/>
    </xf>
    <xf numFmtId="166" fontId="2" fillId="2" borderId="0" xfId="1" applyFont="1" applyFill="1"/>
    <xf numFmtId="164" fontId="2" fillId="2" borderId="4" xfId="2" applyNumberFormat="1" applyFont="1" applyFill="1" applyBorder="1" applyAlignment="1">
      <alignment horizontal="left" vertical="center" indent="2"/>
    </xf>
    <xf numFmtId="49" fontId="2" fillId="2" borderId="0" xfId="1" applyNumberFormat="1" applyFont="1" applyFill="1"/>
    <xf numFmtId="49" fontId="2" fillId="2" borderId="0" xfId="1" applyNumberFormat="1" applyFont="1" applyFill="1" applyBorder="1"/>
    <xf numFmtId="49" fontId="5" fillId="2" borderId="0" xfId="1" applyNumberFormat="1" applyFont="1" applyFill="1"/>
    <xf numFmtId="167" fontId="2" fillId="2" borderId="0" xfId="1" applyNumberFormat="1" applyFont="1" applyFill="1" applyBorder="1" applyAlignment="1">
      <alignment vertical="center"/>
    </xf>
    <xf numFmtId="166" fontId="2" fillId="2" borderId="0" xfId="1" applyFont="1" applyFill="1" applyAlignment="1">
      <alignment vertical="center"/>
    </xf>
    <xf numFmtId="0" fontId="2" fillId="2" borderId="0" xfId="0" applyFont="1" applyFill="1"/>
    <xf numFmtId="0" fontId="8" fillId="2" borderId="0" xfId="0" applyFont="1" applyFill="1" applyAlignment="1">
      <alignment horizontal="left" vertical="center" indent="3"/>
    </xf>
    <xf numFmtId="170" fontId="2" fillId="2" borderId="0" xfId="2" applyNumberFormat="1" applyFont="1" applyFill="1" applyBorder="1" applyAlignment="1">
      <alignment horizontal="center" vertical="center"/>
    </xf>
    <xf numFmtId="0" fontId="1" fillId="2" borderId="0" xfId="6" applyFill="1"/>
    <xf numFmtId="0" fontId="1" fillId="2" borderId="0" xfId="6" applyFill="1" applyBorder="1"/>
    <xf numFmtId="0" fontId="10" fillId="2" borderId="9" xfId="6" applyFont="1" applyFill="1" applyBorder="1"/>
    <xf numFmtId="0" fontId="11" fillId="2" borderId="0" xfId="6" applyFont="1" applyFill="1" applyBorder="1"/>
    <xf numFmtId="0" fontId="11" fillId="2" borderId="0" xfId="0" applyFont="1" applyFill="1" applyBorder="1"/>
    <xf numFmtId="0" fontId="12" fillId="2" borderId="0" xfId="0" applyFont="1" applyFill="1" applyBorder="1"/>
    <xf numFmtId="0" fontId="7" fillId="2" borderId="0" xfId="6" applyFont="1" applyFill="1" applyBorder="1"/>
    <xf numFmtId="0" fontId="12" fillId="2" borderId="0" xfId="0" applyFont="1" applyFill="1"/>
    <xf numFmtId="167" fontId="3" fillId="4" borderId="19" xfId="1" applyNumberFormat="1" applyFont="1" applyFill="1" applyBorder="1" applyAlignment="1">
      <alignment horizontal="center" vertical="center" wrapText="1"/>
    </xf>
    <xf numFmtId="49" fontId="3" fillId="5" borderId="0" xfId="1" applyNumberFormat="1" applyFont="1" applyFill="1" applyBorder="1" applyAlignment="1">
      <alignment vertical="center"/>
    </xf>
    <xf numFmtId="167" fontId="3" fillId="5" borderId="0" xfId="1" applyNumberFormat="1" applyFont="1" applyFill="1" applyBorder="1" applyAlignment="1">
      <alignment vertical="center"/>
    </xf>
    <xf numFmtId="167" fontId="3" fillId="5" borderId="0" xfId="1" applyNumberFormat="1" applyFont="1" applyFill="1" applyBorder="1" applyAlignment="1">
      <alignment horizontal="center" vertical="center" wrapText="1"/>
    </xf>
    <xf numFmtId="0" fontId="13" fillId="2" borderId="0" xfId="0" applyFont="1" applyFill="1" applyAlignment="1">
      <alignment horizontal="left" vertical="center" indent="3"/>
    </xf>
    <xf numFmtId="167" fontId="12" fillId="2" borderId="0" xfId="1" applyNumberFormat="1" applyFont="1" applyFill="1" applyBorder="1"/>
    <xf numFmtId="167" fontId="12" fillId="2" borderId="7" xfId="1" applyNumberFormat="1" applyFont="1" applyFill="1" applyBorder="1"/>
    <xf numFmtId="167" fontId="12" fillId="2" borderId="0" xfId="1" applyNumberFormat="1" applyFont="1" applyFill="1" applyBorder="1" applyAlignment="1">
      <alignment horizontal="center" vertical="center"/>
    </xf>
    <xf numFmtId="49" fontId="12" fillId="2" borderId="0" xfId="1" applyNumberFormat="1" applyFont="1" applyFill="1"/>
    <xf numFmtId="2" fontId="12" fillId="2" borderId="0" xfId="1" applyNumberFormat="1" applyFont="1" applyFill="1"/>
    <xf numFmtId="167" fontId="12" fillId="2" borderId="0" xfId="1" applyNumberFormat="1" applyFont="1" applyFill="1"/>
    <xf numFmtId="167" fontId="12" fillId="2" borderId="3" xfId="1" applyNumberFormat="1" applyFont="1" applyFill="1" applyBorder="1"/>
    <xf numFmtId="167" fontId="12" fillId="2" borderId="3" xfId="1" applyNumberFormat="1" applyFont="1" applyFill="1" applyBorder="1" applyAlignment="1">
      <alignment horizontal="center" vertical="center"/>
    </xf>
    <xf numFmtId="164" fontId="12" fillId="2" borderId="3" xfId="2" applyNumberFormat="1" applyFont="1" applyFill="1" applyBorder="1" applyAlignment="1">
      <alignment horizontal="left" vertical="center" indent="2"/>
    </xf>
    <xf numFmtId="49" fontId="16" fillId="4" borderId="0" xfId="1" applyNumberFormat="1" applyFont="1" applyFill="1" applyBorder="1" applyAlignment="1">
      <alignment vertical="center"/>
    </xf>
    <xf numFmtId="167" fontId="16" fillId="4" borderId="0" xfId="1" applyNumberFormat="1" applyFont="1" applyFill="1" applyBorder="1" applyAlignment="1">
      <alignment vertical="center"/>
    </xf>
    <xf numFmtId="167" fontId="16" fillId="4" borderId="0" xfId="1" applyNumberFormat="1" applyFont="1" applyFill="1" applyBorder="1" applyAlignment="1">
      <alignment horizontal="center" vertical="center" wrapText="1"/>
    </xf>
    <xf numFmtId="49" fontId="16" fillId="2" borderId="0" xfId="1" applyNumberFormat="1" applyFont="1" applyFill="1" applyBorder="1" applyAlignment="1">
      <alignment vertical="center"/>
    </xf>
    <xf numFmtId="167" fontId="16" fillId="2" borderId="0" xfId="1" applyNumberFormat="1" applyFont="1" applyFill="1" applyBorder="1" applyAlignment="1">
      <alignment vertical="center"/>
    </xf>
    <xf numFmtId="167" fontId="16" fillId="2" borderId="0" xfId="1" applyNumberFormat="1" applyFont="1" applyFill="1" applyBorder="1" applyAlignment="1">
      <alignment horizontal="center" vertical="center" wrapText="1"/>
    </xf>
    <xf numFmtId="167" fontId="16" fillId="5" borderId="0" xfId="1" applyNumberFormat="1" applyFont="1" applyFill="1" applyBorder="1" applyAlignment="1">
      <alignment vertical="center"/>
    </xf>
    <xf numFmtId="167" fontId="16" fillId="5" borderId="0" xfId="1" applyNumberFormat="1" applyFont="1" applyFill="1" applyBorder="1" applyAlignment="1">
      <alignment horizontal="center" vertical="center" wrapText="1"/>
    </xf>
    <xf numFmtId="167" fontId="12" fillId="2" borderId="0" xfId="1" applyNumberFormat="1" applyFont="1" applyFill="1" applyAlignment="1">
      <alignment vertical="center"/>
    </xf>
    <xf numFmtId="167" fontId="12" fillId="2" borderId="5" xfId="1" applyNumberFormat="1" applyFont="1" applyFill="1" applyBorder="1" applyAlignment="1">
      <alignment horizontal="center"/>
    </xf>
    <xf numFmtId="167" fontId="12" fillId="2" borderId="0" xfId="1" applyNumberFormat="1" applyFont="1" applyFill="1" applyBorder="1" applyAlignment="1">
      <alignment horizontal="right" vertical="center"/>
    </xf>
    <xf numFmtId="167" fontId="12" fillId="2" borderId="8" xfId="1" applyNumberFormat="1" applyFont="1" applyFill="1" applyBorder="1" applyAlignment="1">
      <alignment horizontal="center" vertical="center"/>
    </xf>
    <xf numFmtId="2" fontId="12" fillId="2" borderId="13" xfId="1" applyNumberFormat="1" applyFont="1" applyFill="1" applyBorder="1"/>
    <xf numFmtId="2" fontId="12" fillId="2" borderId="0" xfId="1" applyNumberFormat="1" applyFont="1" applyFill="1" applyBorder="1"/>
    <xf numFmtId="49" fontId="19" fillId="3" borderId="12" xfId="1" applyNumberFormat="1" applyFont="1" applyFill="1" applyBorder="1" applyAlignment="1"/>
    <xf numFmtId="0" fontId="19" fillId="3" borderId="11" xfId="1" applyNumberFormat="1" applyFont="1" applyFill="1" applyBorder="1" applyAlignment="1"/>
    <xf numFmtId="0" fontId="12" fillId="2" borderId="16" xfId="1" applyNumberFormat="1" applyFont="1" applyFill="1" applyBorder="1" applyAlignment="1">
      <alignment horizontal="center" vertical="center"/>
    </xf>
    <xf numFmtId="0" fontId="12" fillId="2" borderId="16" xfId="1" applyNumberFormat="1" applyFont="1" applyFill="1" applyBorder="1"/>
    <xf numFmtId="2" fontId="12" fillId="2" borderId="12" xfId="1" applyNumberFormat="1" applyFont="1" applyFill="1" applyBorder="1"/>
    <xf numFmtId="2" fontId="12" fillId="2" borderId="2" xfId="1" applyNumberFormat="1" applyFont="1" applyFill="1" applyBorder="1"/>
    <xf numFmtId="167" fontId="12" fillId="2" borderId="15" xfId="1" applyNumberFormat="1" applyFont="1" applyFill="1" applyBorder="1"/>
    <xf numFmtId="167" fontId="2" fillId="7" borderId="0" xfId="1" applyNumberFormat="1" applyFont="1" applyFill="1"/>
    <xf numFmtId="1" fontId="12" fillId="2" borderId="0" xfId="1" applyNumberFormat="1" applyFont="1" applyFill="1" applyBorder="1"/>
    <xf numFmtId="1" fontId="12" fillId="2" borderId="0" xfId="1" applyNumberFormat="1" applyFont="1" applyFill="1" applyBorder="1" applyAlignment="1">
      <alignment horizontal="center" vertical="center"/>
    </xf>
    <xf numFmtId="1" fontId="12" fillId="2" borderId="0" xfId="2" applyNumberFormat="1" applyFont="1" applyFill="1" applyBorder="1" applyAlignment="1">
      <alignment horizontal="left" vertical="center" indent="2"/>
    </xf>
    <xf numFmtId="1" fontId="12" fillId="2" borderId="0" xfId="1" applyNumberFormat="1" applyFont="1" applyFill="1"/>
    <xf numFmtId="167" fontId="12" fillId="2" borderId="0" xfId="1" applyNumberFormat="1" applyFont="1" applyFill="1" applyBorder="1" applyAlignment="1">
      <alignment horizontal="right"/>
    </xf>
    <xf numFmtId="166" fontId="12" fillId="2" borderId="0" xfId="1" applyFont="1" applyFill="1" applyBorder="1"/>
    <xf numFmtId="171" fontId="12" fillId="2" borderId="0" xfId="1" applyNumberFormat="1" applyFont="1" applyFill="1" applyBorder="1"/>
    <xf numFmtId="172" fontId="12" fillId="2" borderId="0" xfId="2" applyNumberFormat="1" applyFont="1" applyFill="1" applyBorder="1" applyAlignment="1">
      <alignment horizontal="right" indent="2"/>
    </xf>
    <xf numFmtId="167" fontId="12" fillId="2" borderId="0" xfId="1" applyNumberFormat="1" applyFont="1" applyFill="1" applyAlignment="1">
      <alignment horizontal="right"/>
    </xf>
    <xf numFmtId="9" fontId="12" fillId="2" borderId="0" xfId="3" applyFont="1" applyFill="1" applyAlignment="1">
      <alignment horizontal="right"/>
    </xf>
    <xf numFmtId="49" fontId="20" fillId="8" borderId="0" xfId="1" applyNumberFormat="1" applyFont="1" applyFill="1" applyBorder="1"/>
    <xf numFmtId="167" fontId="20" fillId="8" borderId="0" xfId="1" applyNumberFormat="1" applyFont="1" applyFill="1" applyBorder="1"/>
    <xf numFmtId="167" fontId="20" fillId="8" borderId="0" xfId="1" applyNumberFormat="1" applyFont="1" applyFill="1" applyBorder="1" applyAlignment="1"/>
    <xf numFmtId="167" fontId="20" fillId="8" borderId="0" xfId="1" applyNumberFormat="1" applyFont="1" applyFill="1" applyBorder="1" applyAlignment="1">
      <alignment horizontal="right"/>
    </xf>
    <xf numFmtId="167" fontId="19" fillId="8" borderId="0" xfId="1" applyNumberFormat="1" applyFont="1" applyFill="1" applyBorder="1" applyAlignment="1">
      <alignment horizontal="right"/>
    </xf>
    <xf numFmtId="171" fontId="12" fillId="2" borderId="0" xfId="1" applyNumberFormat="1" applyFont="1" applyFill="1" applyBorder="1" applyAlignment="1">
      <alignment horizontal="right"/>
    </xf>
    <xf numFmtId="167" fontId="12" fillId="2" borderId="0" xfId="1" applyNumberFormat="1" applyFont="1" applyFill="1" applyBorder="1" applyAlignment="1">
      <alignment horizontal="right" vertical="center" indent="2"/>
    </xf>
    <xf numFmtId="167" fontId="14" fillId="2" borderId="0" xfId="1" applyNumberFormat="1" applyFont="1" applyFill="1" applyBorder="1" applyAlignment="1">
      <alignment horizontal="center" vertical="center" wrapText="1"/>
    </xf>
    <xf numFmtId="167" fontId="12" fillId="0" borderId="0" xfId="1" applyNumberFormat="1" applyFont="1" applyFill="1" applyBorder="1"/>
    <xf numFmtId="167" fontId="21" fillId="2" borderId="0" xfId="1" applyNumberFormat="1" applyFont="1" applyFill="1"/>
    <xf numFmtId="167" fontId="12" fillId="2" borderId="3" xfId="1" applyNumberFormat="1" applyFont="1" applyFill="1" applyBorder="1" applyAlignment="1">
      <alignment horizontal="left" vertical="center" indent="2"/>
    </xf>
    <xf numFmtId="1" fontId="2" fillId="2" borderId="0" xfId="1" applyNumberFormat="1" applyFont="1" applyFill="1"/>
    <xf numFmtId="0" fontId="12" fillId="2" borderId="0" xfId="0" applyFont="1" applyFill="1" applyAlignment="1">
      <alignment wrapText="1"/>
    </xf>
    <xf numFmtId="0" fontId="2" fillId="2" borderId="0" xfId="0" applyFont="1" applyFill="1" applyAlignment="1">
      <alignment wrapText="1"/>
    </xf>
    <xf numFmtId="175" fontId="12" fillId="2" borderId="3" xfId="2" applyNumberFormat="1" applyFont="1" applyFill="1" applyBorder="1" applyAlignment="1">
      <alignment horizontal="left" vertical="center" indent="2"/>
    </xf>
    <xf numFmtId="0" fontId="23" fillId="0" borderId="0" xfId="7" applyAlignment="1">
      <alignment horizontal="left" vertical="center"/>
    </xf>
    <xf numFmtId="0" fontId="24" fillId="2" borderId="0" xfId="0" applyFont="1" applyFill="1"/>
    <xf numFmtId="49" fontId="3" fillId="12" borderId="0" xfId="1" applyNumberFormat="1" applyFont="1" applyFill="1" applyBorder="1" applyAlignment="1">
      <alignment vertical="center"/>
    </xf>
    <xf numFmtId="49" fontId="16" fillId="11" borderId="0" xfId="1" applyNumberFormat="1" applyFont="1" applyFill="1" applyBorder="1" applyAlignment="1">
      <alignment vertical="center"/>
    </xf>
    <xf numFmtId="49" fontId="16" fillId="11" borderId="12" xfId="1" applyNumberFormat="1" applyFont="1" applyFill="1" applyBorder="1" applyAlignment="1">
      <alignment vertical="center"/>
    </xf>
    <xf numFmtId="49" fontId="16" fillId="11" borderId="8" xfId="1" applyNumberFormat="1" applyFont="1" applyFill="1" applyBorder="1" applyAlignment="1">
      <alignment vertical="center"/>
    </xf>
    <xf numFmtId="49" fontId="12" fillId="10" borderId="0" xfId="1" applyNumberFormat="1" applyFont="1" applyFill="1" applyBorder="1"/>
    <xf numFmtId="2" fontId="12" fillId="10" borderId="0" xfId="1" applyNumberFormat="1" applyFont="1" applyFill="1" applyBorder="1" applyAlignment="1">
      <alignment vertical="center"/>
    </xf>
    <xf numFmtId="167" fontId="12" fillId="10" borderId="0" xfId="1" applyNumberFormat="1" applyFont="1" applyFill="1" applyBorder="1"/>
    <xf numFmtId="167" fontId="12" fillId="10" borderId="0" xfId="1" applyNumberFormat="1" applyFont="1" applyFill="1" applyBorder="1" applyAlignment="1">
      <alignment vertical="center"/>
    </xf>
    <xf numFmtId="49" fontId="14" fillId="10" borderId="0" xfId="1" applyNumberFormat="1" applyFont="1" applyFill="1" applyBorder="1"/>
    <xf numFmtId="167" fontId="2" fillId="10" borderId="0" xfId="1" applyNumberFormat="1" applyFont="1" applyFill="1"/>
    <xf numFmtId="164" fontId="12" fillId="10" borderId="0" xfId="2" applyNumberFormat="1" applyFont="1" applyFill="1" applyBorder="1" applyAlignment="1">
      <alignment horizontal="left" vertical="center" indent="2"/>
    </xf>
    <xf numFmtId="167" fontId="14" fillId="10" borderId="3" xfId="1" applyNumberFormat="1" applyFont="1" applyFill="1" applyBorder="1" applyAlignment="1">
      <alignment horizontal="right"/>
    </xf>
    <xf numFmtId="167" fontId="14" fillId="10" borderId="0" xfId="1" applyNumberFormat="1" applyFont="1" applyFill="1" applyBorder="1"/>
    <xf numFmtId="167" fontId="14" fillId="10" borderId="0" xfId="1" applyNumberFormat="1" applyFont="1" applyFill="1" applyBorder="1" applyAlignment="1">
      <alignment horizontal="center" vertical="center"/>
    </xf>
    <xf numFmtId="167" fontId="14" fillId="10" borderId="0" xfId="1" applyNumberFormat="1" applyFont="1" applyFill="1" applyBorder="1" applyAlignment="1">
      <alignment horizontal="right"/>
    </xf>
    <xf numFmtId="167" fontId="12" fillId="10" borderId="0"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xf>
    <xf numFmtId="167" fontId="14" fillId="10" borderId="0" xfId="1" applyNumberFormat="1" applyFont="1" applyFill="1" applyBorder="1" applyAlignment="1">
      <alignment horizontal="left" vertical="center"/>
    </xf>
    <xf numFmtId="49" fontId="12" fillId="10" borderId="0" xfId="1" applyNumberFormat="1" applyFont="1" applyFill="1" applyBorder="1" applyAlignment="1"/>
    <xf numFmtId="167" fontId="12" fillId="10" borderId="0" xfId="1" applyNumberFormat="1" applyFont="1" applyFill="1" applyBorder="1" applyAlignment="1"/>
    <xf numFmtId="167" fontId="12" fillId="10" borderId="0" xfId="1" applyNumberFormat="1" applyFont="1" applyFill="1" applyBorder="1" applyAlignment="1">
      <alignment horizontal="center" vertical="center" wrapText="1"/>
    </xf>
    <xf numFmtId="167" fontId="12" fillId="10" borderId="0" xfId="1" applyNumberFormat="1" applyFont="1" applyFill="1" applyBorder="1" applyAlignment="1">
      <alignment horizontal="right" vertical="center"/>
    </xf>
    <xf numFmtId="167" fontId="12" fillId="10" borderId="0" xfId="1" applyNumberFormat="1" applyFont="1" applyFill="1"/>
    <xf numFmtId="164" fontId="12" fillId="10" borderId="3" xfId="2" applyNumberFormat="1" applyFont="1" applyFill="1" applyBorder="1" applyAlignment="1">
      <alignment horizontal="left" vertical="center" indent="2"/>
    </xf>
    <xf numFmtId="164" fontId="12" fillId="10" borderId="4" xfId="2" applyNumberFormat="1" applyFont="1" applyFill="1" applyBorder="1" applyAlignment="1">
      <alignment horizontal="left" vertical="center" indent="2"/>
    </xf>
    <xf numFmtId="49" fontId="12" fillId="10" borderId="0" xfId="1" applyNumberFormat="1" applyFont="1" applyFill="1"/>
    <xf numFmtId="49" fontId="12" fillId="10" borderId="3" xfId="1" applyNumberFormat="1" applyFont="1" applyFill="1" applyBorder="1"/>
    <xf numFmtId="167" fontId="19" fillId="11" borderId="12" xfId="1" applyNumberFormat="1" applyFont="1" applyFill="1" applyBorder="1"/>
    <xf numFmtId="167" fontId="19" fillId="11" borderId="13" xfId="1" applyNumberFormat="1" applyFont="1" applyFill="1" applyBorder="1"/>
    <xf numFmtId="167" fontId="19" fillId="11" borderId="10" xfId="1" applyNumberFormat="1" applyFont="1" applyFill="1" applyBorder="1"/>
    <xf numFmtId="49" fontId="3" fillId="11" borderId="0" xfId="1" applyNumberFormat="1" applyFont="1" applyFill="1" applyBorder="1" applyAlignment="1">
      <alignment vertical="center"/>
    </xf>
    <xf numFmtId="9" fontId="12" fillId="10" borderId="11" xfId="3" applyFont="1" applyFill="1" applyBorder="1"/>
    <xf numFmtId="167" fontId="12" fillId="10" borderId="7" xfId="1" applyNumberFormat="1" applyFont="1" applyFill="1" applyBorder="1"/>
    <xf numFmtId="168" fontId="12" fillId="10" borderId="14" xfId="3" applyNumberFormat="1" applyFont="1" applyFill="1" applyBorder="1"/>
    <xf numFmtId="2" fontId="12" fillId="10" borderId="12" xfId="1" applyNumberFormat="1" applyFont="1" applyFill="1" applyBorder="1"/>
    <xf numFmtId="2" fontId="12" fillId="10" borderId="13" xfId="1" applyNumberFormat="1" applyFont="1" applyFill="1" applyBorder="1"/>
    <xf numFmtId="173" fontId="12" fillId="10" borderId="1" xfId="1" applyNumberFormat="1" applyFont="1" applyFill="1" applyBorder="1"/>
    <xf numFmtId="167" fontId="12" fillId="10" borderId="1" xfId="1" applyNumberFormat="1" applyFont="1" applyFill="1" applyBorder="1"/>
    <xf numFmtId="0" fontId="12" fillId="10" borderId="1" xfId="1" applyNumberFormat="1" applyFont="1" applyFill="1" applyBorder="1" applyAlignment="1">
      <alignment horizontal="center" vertical="center"/>
    </xf>
    <xf numFmtId="167" fontId="12" fillId="10" borderId="3" xfId="1" applyNumberFormat="1" applyFont="1" applyFill="1" applyBorder="1"/>
    <xf numFmtId="167" fontId="12" fillId="10" borderId="3" xfId="1" applyNumberFormat="1" applyFont="1" applyFill="1" applyBorder="1" applyAlignment="1">
      <alignment horizontal="center" vertical="center"/>
    </xf>
    <xf numFmtId="167" fontId="12" fillId="10" borderId="8" xfId="1" applyNumberFormat="1" applyFont="1" applyFill="1" applyBorder="1"/>
    <xf numFmtId="167" fontId="14" fillId="10" borderId="3" xfId="1" applyNumberFormat="1" applyFont="1" applyFill="1" applyBorder="1"/>
    <xf numFmtId="167" fontId="14" fillId="10" borderId="8"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indent="2"/>
    </xf>
    <xf numFmtId="164" fontId="14" fillId="10" borderId="3" xfId="2" applyNumberFormat="1" applyFont="1" applyFill="1" applyBorder="1" applyAlignment="1">
      <alignment horizontal="left" vertical="center" indent="2"/>
    </xf>
    <xf numFmtId="167" fontId="12" fillId="10" borderId="9" xfId="1" applyNumberFormat="1" applyFont="1" applyFill="1" applyBorder="1"/>
    <xf numFmtId="166" fontId="12" fillId="10" borderId="0" xfId="1" applyFont="1" applyFill="1"/>
    <xf numFmtId="2" fontId="12" fillId="10" borderId="0" xfId="1" applyNumberFormat="1" applyFont="1" applyFill="1" applyBorder="1"/>
    <xf numFmtId="169" fontId="12" fillId="10" borderId="0" xfId="1" applyNumberFormat="1" applyFont="1" applyFill="1" applyBorder="1" applyAlignment="1">
      <alignment horizontal="center" vertical="center"/>
    </xf>
    <xf numFmtId="49" fontId="12" fillId="10" borderId="13" xfId="1" applyNumberFormat="1" applyFont="1" applyFill="1" applyBorder="1"/>
    <xf numFmtId="167" fontId="12" fillId="10" borderId="13" xfId="1" applyNumberFormat="1" applyFont="1" applyFill="1" applyBorder="1"/>
    <xf numFmtId="0" fontId="12" fillId="10" borderId="0" xfId="1" applyNumberFormat="1" applyFont="1" applyFill="1" applyBorder="1" applyAlignment="1">
      <alignment horizontal="center" vertical="center"/>
    </xf>
    <xf numFmtId="0" fontId="12" fillId="10" borderId="7" xfId="1" applyNumberFormat="1" applyFont="1" applyFill="1" applyBorder="1"/>
    <xf numFmtId="2" fontId="12" fillId="10" borderId="10" xfId="1" applyNumberFormat="1" applyFont="1" applyFill="1" applyBorder="1"/>
    <xf numFmtId="2" fontId="12" fillId="10" borderId="9" xfId="1" applyNumberFormat="1" applyFont="1" applyFill="1" applyBorder="1"/>
    <xf numFmtId="167" fontId="12" fillId="10" borderId="14" xfId="1" applyNumberFormat="1" applyFont="1" applyFill="1" applyBorder="1"/>
    <xf numFmtId="167" fontId="12" fillId="10" borderId="10" xfId="1" applyNumberFormat="1" applyFont="1" applyFill="1" applyBorder="1"/>
    <xf numFmtId="167" fontId="2" fillId="10" borderId="13" xfId="1" applyNumberFormat="1" applyFont="1" applyFill="1" applyBorder="1"/>
    <xf numFmtId="1" fontId="12" fillId="10" borderId="12" xfId="1" applyNumberFormat="1" applyFont="1" applyFill="1" applyBorder="1"/>
    <xf numFmtId="1" fontId="12" fillId="10" borderId="8" xfId="1" applyNumberFormat="1" applyFont="1" applyFill="1" applyBorder="1"/>
    <xf numFmtId="167" fontId="12" fillId="10" borderId="8" xfId="1" applyNumberFormat="1" applyFont="1" applyFill="1" applyBorder="1" applyAlignment="1">
      <alignment horizontal="center" vertical="center"/>
    </xf>
    <xf numFmtId="167" fontId="12" fillId="10" borderId="11" xfId="1" applyNumberFormat="1" applyFont="1" applyFill="1" applyBorder="1"/>
    <xf numFmtId="1" fontId="12" fillId="10" borderId="13" xfId="1" applyNumberFormat="1" applyFont="1" applyFill="1" applyBorder="1"/>
    <xf numFmtId="1" fontId="12" fillId="10" borderId="0" xfId="1" applyNumberFormat="1" applyFont="1" applyFill="1" applyBorder="1"/>
    <xf numFmtId="1" fontId="12" fillId="10" borderId="10" xfId="1" applyNumberFormat="1" applyFont="1" applyFill="1" applyBorder="1"/>
    <xf numFmtId="1" fontId="12" fillId="10" borderId="9" xfId="1" applyNumberFormat="1" applyFont="1" applyFill="1" applyBorder="1"/>
    <xf numFmtId="169" fontId="12" fillId="10" borderId="8" xfId="1" applyNumberFormat="1" applyFont="1" applyFill="1" applyBorder="1" applyAlignment="1">
      <alignment horizontal="center" vertical="center"/>
    </xf>
    <xf numFmtId="167" fontId="2" fillId="10" borderId="0" xfId="1" applyNumberFormat="1" applyFont="1" applyFill="1" applyAlignment="1">
      <alignment horizontal="right"/>
    </xf>
    <xf numFmtId="167" fontId="16" fillId="11" borderId="0" xfId="1" applyNumberFormat="1" applyFont="1" applyFill="1" applyBorder="1" applyAlignment="1">
      <alignment horizontal="center" vertical="center"/>
    </xf>
    <xf numFmtId="167" fontId="16" fillId="11" borderId="0" xfId="1" applyNumberFormat="1" applyFont="1" applyFill="1" applyAlignment="1">
      <alignment horizontal="center" vertical="center"/>
    </xf>
    <xf numFmtId="0" fontId="12" fillId="2" borderId="8" xfId="0" applyFont="1" applyFill="1" applyBorder="1"/>
    <xf numFmtId="0" fontId="25" fillId="0" borderId="28" xfId="0" applyFont="1" applyFill="1" applyBorder="1" applyAlignment="1">
      <alignment horizontal="center" vertical="top"/>
    </xf>
    <xf numFmtId="0" fontId="1" fillId="2" borderId="9" xfId="6" applyFill="1" applyBorder="1"/>
    <xf numFmtId="174"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Protection="1">
      <protection locked="0"/>
    </xf>
    <xf numFmtId="167"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pplyProtection="1">
      <alignment horizontal="left" vertical="center"/>
      <protection locked="0"/>
    </xf>
    <xf numFmtId="167" fontId="4" fillId="2" borderId="0" xfId="1" applyNumberFormat="1" applyFont="1" applyFill="1" applyBorder="1" applyProtection="1">
      <protection locked="0"/>
    </xf>
    <xf numFmtId="167" fontId="12" fillId="2" borderId="0" xfId="1" applyNumberFormat="1" applyFont="1" applyFill="1" applyBorder="1" applyAlignment="1" applyProtection="1">
      <alignment vertical="center"/>
      <protection locked="0"/>
    </xf>
    <xf numFmtId="166" fontId="12" fillId="2" borderId="0" xfId="1" applyFont="1" applyFill="1" applyBorder="1" applyAlignment="1" applyProtection="1">
      <alignment horizontal="left" vertical="center"/>
      <protection locked="0"/>
    </xf>
    <xf numFmtId="164" fontId="12" fillId="2" borderId="0" xfId="2" applyNumberFormat="1" applyFont="1" applyFill="1" applyBorder="1" applyAlignment="1" applyProtection="1">
      <alignment horizontal="left" vertical="center"/>
      <protection locked="0"/>
    </xf>
    <xf numFmtId="167" fontId="12" fillId="2" borderId="3" xfId="1" applyNumberFormat="1" applyFont="1" applyFill="1" applyBorder="1" applyProtection="1">
      <protection locked="0"/>
    </xf>
    <xf numFmtId="167" fontId="12" fillId="2" borderId="3" xfId="1" applyNumberFormat="1" applyFont="1" applyFill="1" applyBorder="1" applyAlignment="1" applyProtection="1">
      <alignment horizontal="center" vertical="center"/>
      <protection locked="0"/>
    </xf>
    <xf numFmtId="164" fontId="12" fillId="2" borderId="3" xfId="2" applyNumberFormat="1" applyFont="1" applyFill="1" applyBorder="1" applyAlignment="1" applyProtection="1">
      <alignment horizontal="left" vertical="center" indent="2"/>
      <protection locked="0"/>
    </xf>
    <xf numFmtId="167" fontId="12" fillId="10" borderId="0" xfId="1" applyNumberFormat="1" applyFont="1" applyFill="1" applyBorder="1" applyAlignment="1" applyProtection="1">
      <alignment horizontal="center" vertical="center"/>
      <protection locked="0"/>
    </xf>
    <xf numFmtId="164" fontId="12" fillId="10" borderId="0" xfId="2" applyNumberFormat="1" applyFont="1" applyFill="1" applyBorder="1" applyAlignment="1" applyProtection="1">
      <alignment horizontal="left" vertical="center" indent="2"/>
      <protection locked="0"/>
    </xf>
    <xf numFmtId="167" fontId="12" fillId="10" borderId="0" xfId="1" applyNumberFormat="1" applyFont="1" applyFill="1" applyProtection="1">
      <protection locked="0"/>
    </xf>
    <xf numFmtId="49" fontId="16" fillId="11" borderId="0" xfId="1" applyNumberFormat="1" applyFont="1" applyFill="1" applyBorder="1" applyAlignment="1" applyProtection="1">
      <alignment vertical="center"/>
      <protection locked="0"/>
    </xf>
    <xf numFmtId="0" fontId="12" fillId="10" borderId="16" xfId="1" applyNumberFormat="1" applyFont="1" applyFill="1" applyBorder="1" applyAlignment="1" applyProtection="1">
      <alignment horizontal="center" vertical="center"/>
      <protection locked="0"/>
    </xf>
    <xf numFmtId="0" fontId="12" fillId="10" borderId="1" xfId="1" applyNumberFormat="1" applyFont="1" applyFill="1" applyBorder="1" applyAlignment="1" applyProtection="1">
      <alignment horizontal="center" vertical="center"/>
      <protection locked="0"/>
    </xf>
    <xf numFmtId="2" fontId="12" fillId="2" borderId="12" xfId="1" applyNumberFormat="1" applyFont="1" applyFill="1" applyBorder="1" applyProtection="1">
      <protection locked="0"/>
    </xf>
    <xf numFmtId="167" fontId="12" fillId="2" borderId="8" xfId="1" applyNumberFormat="1" applyFont="1" applyFill="1" applyBorder="1" applyAlignment="1" applyProtection="1">
      <alignment horizontal="center" vertical="center"/>
      <protection locked="0"/>
    </xf>
    <xf numFmtId="167" fontId="12" fillId="2" borderId="11" xfId="1" applyNumberFormat="1" applyFont="1" applyFill="1" applyBorder="1" applyAlignment="1" applyProtection="1">
      <alignment horizontal="center" vertical="center"/>
      <protection locked="0"/>
    </xf>
    <xf numFmtId="2" fontId="12" fillId="2" borderId="13" xfId="1" applyNumberFormat="1" applyFont="1" applyFill="1" applyBorder="1" applyProtection="1">
      <protection locked="0"/>
    </xf>
    <xf numFmtId="167" fontId="12" fillId="2" borderId="7" xfId="1" applyNumberFormat="1" applyFont="1" applyFill="1" applyBorder="1" applyAlignment="1" applyProtection="1">
      <alignment horizontal="center" vertical="center"/>
      <protection locked="0"/>
    </xf>
    <xf numFmtId="2" fontId="12" fillId="2" borderId="10" xfId="1" applyNumberFormat="1" applyFont="1" applyFill="1" applyBorder="1" applyProtection="1">
      <protection locked="0"/>
    </xf>
    <xf numFmtId="167" fontId="12" fillId="2" borderId="9" xfId="1" applyNumberFormat="1" applyFont="1" applyFill="1" applyBorder="1" applyAlignment="1" applyProtection="1">
      <alignment horizontal="center" vertical="center"/>
      <protection locked="0"/>
    </xf>
    <xf numFmtId="167" fontId="12" fillId="2" borderId="14" xfId="1" applyNumberFormat="1" applyFont="1" applyFill="1" applyBorder="1" applyProtection="1">
      <protection locked="0"/>
    </xf>
    <xf numFmtId="49" fontId="22" fillId="5" borderId="0" xfId="1" applyNumberFormat="1" applyFont="1" applyFill="1" applyBorder="1" applyAlignment="1" applyProtection="1">
      <alignment vertical="center"/>
      <protection locked="0"/>
    </xf>
    <xf numFmtId="167" fontId="2" fillId="2" borderId="0" xfId="1" applyNumberFormat="1" applyFont="1" applyFill="1" applyProtection="1">
      <protection locked="0"/>
    </xf>
    <xf numFmtId="0" fontId="2" fillId="2" borderId="0" xfId="0" applyFont="1" applyFill="1" applyProtection="1">
      <protection locked="0"/>
    </xf>
    <xf numFmtId="49" fontId="12" fillId="10" borderId="0" xfId="1" applyNumberFormat="1" applyFont="1" applyFill="1" applyBorder="1" applyProtection="1">
      <protection locked="0"/>
    </xf>
    <xf numFmtId="167" fontId="12" fillId="10" borderId="0" xfId="1" applyNumberFormat="1" applyFont="1" applyFill="1" applyBorder="1" applyProtection="1">
      <protection locked="0"/>
    </xf>
    <xf numFmtId="170" fontId="12" fillId="10" borderId="0" xfId="2" applyNumberFormat="1" applyFont="1" applyFill="1" applyBorder="1" applyAlignment="1" applyProtection="1">
      <alignment horizontal="center" vertical="center"/>
      <protection locked="0"/>
    </xf>
    <xf numFmtId="164" fontId="12" fillId="10" borderId="36" xfId="2" applyNumberFormat="1" applyFont="1" applyFill="1" applyBorder="1" applyAlignment="1">
      <alignment horizontal="left" vertical="center" indent="2"/>
    </xf>
    <xf numFmtId="49" fontId="4" fillId="10" borderId="0" xfId="1" applyNumberFormat="1" applyFont="1" applyFill="1" applyBorder="1" applyAlignment="1">
      <alignment vertical="top"/>
    </xf>
    <xf numFmtId="167" fontId="4" fillId="10" borderId="0" xfId="1" applyNumberFormat="1" applyFont="1" applyFill="1" applyBorder="1" applyAlignment="1">
      <alignment vertical="top"/>
    </xf>
    <xf numFmtId="167" fontId="12" fillId="10" borderId="0" xfId="1" applyNumberFormat="1" applyFont="1" applyFill="1" applyBorder="1" applyAlignment="1">
      <alignment vertical="top"/>
    </xf>
    <xf numFmtId="167" fontId="4" fillId="10" borderId="0" xfId="1" applyNumberFormat="1" applyFont="1" applyFill="1" applyBorder="1" applyAlignment="1">
      <alignment horizontal="right" vertical="top" wrapText="1"/>
    </xf>
    <xf numFmtId="49" fontId="16" fillId="11" borderId="0" xfId="1" applyNumberFormat="1" applyFont="1" applyFill="1" applyBorder="1" applyAlignment="1">
      <alignment vertical="center" wrapText="1"/>
    </xf>
    <xf numFmtId="49" fontId="16" fillId="11" borderId="0" xfId="1" applyNumberFormat="1" applyFont="1" applyFill="1" applyBorder="1" applyAlignment="1">
      <alignment horizontal="center" vertical="center" wrapText="1"/>
    </xf>
    <xf numFmtId="0" fontId="8" fillId="2" borderId="0" xfId="0" applyFont="1" applyFill="1" applyAlignment="1" applyProtection="1">
      <alignment horizontal="left" vertical="center" indent="3"/>
      <protection locked="0"/>
    </xf>
    <xf numFmtId="0" fontId="0" fillId="2" borderId="0" xfId="0" applyFill="1" applyProtection="1">
      <protection locked="0"/>
    </xf>
    <xf numFmtId="49" fontId="2" fillId="2" borderId="0" xfId="1" applyNumberFormat="1" applyFont="1" applyFill="1" applyProtection="1">
      <protection locked="0"/>
    </xf>
    <xf numFmtId="164" fontId="12" fillId="10" borderId="0" xfId="2" applyNumberFormat="1" applyFont="1" applyFill="1" applyBorder="1" applyAlignment="1" applyProtection="1">
      <alignment horizontal="left" vertical="center" indent="2"/>
    </xf>
    <xf numFmtId="164" fontId="15" fillId="10" borderId="0" xfId="2" applyNumberFormat="1" applyFont="1" applyFill="1" applyBorder="1" applyAlignment="1" applyProtection="1">
      <alignment horizontal="left" vertical="center" indent="2"/>
    </xf>
    <xf numFmtId="167" fontId="14" fillId="10" borderId="0" xfId="1" applyNumberFormat="1" applyFont="1" applyFill="1" applyBorder="1" applyAlignment="1" applyProtection="1"/>
    <xf numFmtId="167" fontId="14" fillId="10" borderId="3" xfId="1" applyNumberFormat="1" applyFont="1" applyFill="1" applyBorder="1" applyAlignment="1" applyProtection="1">
      <alignment horizontal="right"/>
    </xf>
    <xf numFmtId="49" fontId="12" fillId="2" borderId="31" xfId="1" applyNumberFormat="1" applyFont="1" applyFill="1" applyBorder="1" applyAlignment="1" applyProtection="1">
      <alignment vertical="center"/>
      <protection locked="0"/>
    </xf>
    <xf numFmtId="49" fontId="12" fillId="2" borderId="31" xfId="1" applyNumberFormat="1" applyFont="1" applyFill="1" applyBorder="1" applyProtection="1">
      <protection locked="0"/>
    </xf>
    <xf numFmtId="49" fontId="3" fillId="12" borderId="0" xfId="1" applyNumberFormat="1" applyFont="1" applyFill="1" applyBorder="1" applyAlignment="1" applyProtection="1">
      <alignment vertical="center"/>
    </xf>
    <xf numFmtId="49" fontId="2" fillId="2" borderId="0" xfId="1" applyNumberFormat="1" applyFont="1" applyFill="1" applyProtection="1"/>
    <xf numFmtId="167" fontId="2" fillId="2" borderId="0" xfId="1" applyNumberFormat="1" applyFont="1" applyFill="1" applyProtection="1"/>
    <xf numFmtId="49" fontId="12" fillId="2" borderId="0" xfId="1" applyNumberFormat="1" applyFont="1" applyFill="1" applyProtection="1"/>
    <xf numFmtId="2" fontId="12" fillId="2" borderId="0" xfId="1" applyNumberFormat="1" applyFont="1" applyFill="1" applyProtection="1"/>
    <xf numFmtId="49" fontId="12" fillId="2" borderId="0" xfId="1" applyNumberFormat="1" applyFont="1" applyFill="1" applyProtection="1">
      <protection locked="0"/>
    </xf>
    <xf numFmtId="49" fontId="16" fillId="11" borderId="0" xfId="1" applyNumberFormat="1" applyFont="1" applyFill="1" applyBorder="1" applyAlignment="1" applyProtection="1">
      <alignment vertical="center" wrapText="1"/>
      <protection locked="0"/>
    </xf>
    <xf numFmtId="49" fontId="12" fillId="10" borderId="0" xfId="1" applyNumberFormat="1" applyFont="1" applyFill="1" applyProtection="1">
      <protection locked="0"/>
    </xf>
    <xf numFmtId="49" fontId="12" fillId="10" borderId="3" xfId="1" applyNumberFormat="1" applyFont="1" applyFill="1" applyBorder="1" applyProtection="1">
      <protection locked="0"/>
    </xf>
    <xf numFmtId="164" fontId="12" fillId="10" borderId="3" xfId="2" applyNumberFormat="1" applyFont="1" applyFill="1" applyBorder="1" applyAlignment="1" applyProtection="1">
      <alignment horizontal="left" vertical="center" indent="2"/>
      <protection locked="0"/>
    </xf>
    <xf numFmtId="49" fontId="14" fillId="10" borderId="0" xfId="1" applyNumberFormat="1" applyFont="1" applyFill="1" applyBorder="1" applyProtection="1">
      <protection locked="0"/>
    </xf>
    <xf numFmtId="164" fontId="12" fillId="10" borderId="4" xfId="2" applyNumberFormat="1" applyFont="1" applyFill="1" applyBorder="1" applyAlignment="1" applyProtection="1">
      <alignment horizontal="left" vertical="center" indent="2"/>
      <protection locked="0"/>
    </xf>
    <xf numFmtId="167" fontId="12" fillId="2" borderId="3" xfId="1" applyNumberFormat="1" applyFont="1" applyFill="1" applyBorder="1" applyAlignment="1" applyProtection="1">
      <alignment horizontal="left" vertical="center" indent="2"/>
      <protection locked="0"/>
    </xf>
    <xf numFmtId="175" fontId="12" fillId="2" borderId="3" xfId="2" applyNumberFormat="1" applyFont="1" applyFill="1" applyBorder="1" applyAlignment="1" applyProtection="1">
      <alignment horizontal="left" vertical="center" indent="2"/>
      <protection locked="0"/>
    </xf>
    <xf numFmtId="167" fontId="26" fillId="10" borderId="3" xfId="1" applyNumberFormat="1" applyFont="1" applyFill="1" applyBorder="1" applyAlignment="1" applyProtection="1">
      <alignment horizontal="right"/>
    </xf>
    <xf numFmtId="170" fontId="27" fillId="5" borderId="0" xfId="2" applyNumberFormat="1" applyFont="1" applyFill="1" applyBorder="1" applyAlignment="1">
      <alignment vertical="center"/>
    </xf>
    <xf numFmtId="168" fontId="2" fillId="2" borderId="0" xfId="3" applyNumberFormat="1" applyFont="1" applyFill="1"/>
    <xf numFmtId="10" fontId="12" fillId="2" borderId="0" xfId="3" applyNumberFormat="1" applyFont="1" applyFill="1" applyAlignment="1">
      <alignment vertical="center"/>
    </xf>
    <xf numFmtId="173" fontId="12" fillId="2" borderId="0" xfId="1" applyNumberFormat="1" applyFont="1" applyFill="1"/>
    <xf numFmtId="49" fontId="12" fillId="2" borderId="0" xfId="1" applyNumberFormat="1" applyFont="1" applyFill="1" applyBorder="1" applyAlignment="1" applyProtection="1">
      <alignment vertical="center"/>
      <protection locked="0"/>
    </xf>
    <xf numFmtId="10" fontId="12" fillId="2" borderId="0" xfId="3" applyNumberFormat="1" applyFont="1" applyFill="1" applyAlignment="1" applyProtection="1">
      <alignment vertical="center"/>
      <protection locked="0"/>
    </xf>
    <xf numFmtId="49" fontId="28" fillId="12" borderId="0" xfId="1" applyNumberFormat="1" applyFont="1" applyFill="1" applyBorder="1" applyAlignment="1" applyProtection="1">
      <alignment vertical="center"/>
      <protection locked="0"/>
    </xf>
    <xf numFmtId="49" fontId="28" fillId="12" borderId="0" xfId="1" applyNumberFormat="1" applyFont="1" applyFill="1" applyBorder="1" applyAlignment="1">
      <alignment vertical="center"/>
    </xf>
    <xf numFmtId="0" fontId="29" fillId="2" borderId="9" xfId="6" applyFont="1" applyFill="1" applyBorder="1"/>
    <xf numFmtId="0" fontId="30" fillId="2" borderId="0" xfId="6" applyFont="1" applyFill="1" applyBorder="1"/>
    <xf numFmtId="0" fontId="31" fillId="2" borderId="0" xfId="6" applyFont="1" applyFill="1" applyBorder="1"/>
    <xf numFmtId="0" fontId="32" fillId="2" borderId="8" xfId="6" applyFont="1" applyFill="1" applyBorder="1"/>
    <xf numFmtId="0" fontId="32" fillId="2" borderId="8" xfId="0" applyFont="1" applyFill="1" applyBorder="1"/>
    <xf numFmtId="0" fontId="25" fillId="2" borderId="8" xfId="0" applyFont="1" applyFill="1" applyBorder="1"/>
    <xf numFmtId="0" fontId="25" fillId="2" borderId="8" xfId="6" applyFont="1" applyFill="1" applyBorder="1"/>
    <xf numFmtId="0" fontId="33" fillId="2" borderId="0" xfId="0" applyFont="1" applyFill="1" applyBorder="1"/>
    <xf numFmtId="0" fontId="33" fillId="2" borderId="0" xfId="0" applyFont="1" applyFill="1"/>
    <xf numFmtId="0" fontId="25" fillId="2" borderId="0" xfId="0" applyFont="1" applyFill="1" applyBorder="1"/>
    <xf numFmtId="0" fontId="25" fillId="2" borderId="0" xfId="0" applyFont="1" applyFill="1"/>
    <xf numFmtId="0" fontId="32" fillId="9" borderId="20" xfId="0" applyFont="1" applyFill="1" applyBorder="1"/>
    <xf numFmtId="0" fontId="32" fillId="2" borderId="0" xfId="0" applyFont="1" applyFill="1" applyBorder="1"/>
    <xf numFmtId="0" fontId="32" fillId="11" borderId="21" xfId="0" applyFont="1" applyFill="1" applyBorder="1"/>
    <xf numFmtId="0" fontId="32" fillId="10" borderId="21" xfId="0" applyFont="1" applyFill="1" applyBorder="1"/>
    <xf numFmtId="0" fontId="32" fillId="12" borderId="22" xfId="0" applyFont="1" applyFill="1" applyBorder="1"/>
    <xf numFmtId="0" fontId="25" fillId="2" borderId="0" xfId="0" applyFont="1" applyFill="1" applyBorder="1" applyAlignment="1">
      <alignment vertical="top" wrapText="1"/>
    </xf>
    <xf numFmtId="49" fontId="36" fillId="12" borderId="0" xfId="1" applyNumberFormat="1" applyFont="1" applyFill="1" applyBorder="1" applyAlignment="1" applyProtection="1">
      <alignment vertical="center"/>
      <protection locked="0"/>
    </xf>
    <xf numFmtId="0" fontId="37" fillId="2" borderId="0" xfId="0" applyFont="1" applyFill="1" applyAlignment="1">
      <alignment horizontal="left" vertical="center" indent="3"/>
    </xf>
    <xf numFmtId="0" fontId="25" fillId="2" borderId="0" xfId="0" applyFont="1" applyFill="1" applyAlignment="1">
      <alignment wrapText="1"/>
    </xf>
    <xf numFmtId="0" fontId="25" fillId="0" borderId="28" xfId="0" applyFont="1" applyFill="1" applyBorder="1" applyAlignment="1">
      <alignment horizontal="left" vertical="top"/>
    </xf>
    <xf numFmtId="0" fontId="25" fillId="0" borderId="28" xfId="0" applyFont="1" applyFill="1" applyBorder="1" applyAlignment="1">
      <alignment horizontal="left" vertical="top" wrapText="1"/>
    </xf>
    <xf numFmtId="0" fontId="35" fillId="0" borderId="28" xfId="0" applyFont="1" applyFill="1" applyBorder="1" applyAlignment="1">
      <alignment horizontal="left" vertical="top" wrapText="1"/>
    </xf>
    <xf numFmtId="0" fontId="25" fillId="0" borderId="28" xfId="0" applyFont="1" applyFill="1" applyBorder="1" applyAlignment="1">
      <alignment horizontal="center" vertical="center" wrapText="1"/>
    </xf>
    <xf numFmtId="9" fontId="12" fillId="10" borderId="0" xfId="3" applyFont="1" applyFill="1" applyBorder="1" applyAlignment="1" applyProtection="1">
      <alignment horizontal="center" vertical="center"/>
      <protection locked="0"/>
    </xf>
    <xf numFmtId="168" fontId="12" fillId="10" borderId="0" xfId="3" applyNumberFormat="1" applyFont="1" applyFill="1" applyBorder="1" applyAlignment="1" applyProtection="1">
      <alignment horizontal="center" vertical="center"/>
      <protection locked="0"/>
    </xf>
    <xf numFmtId="167" fontId="16" fillId="11" borderId="13" xfId="1" applyNumberFormat="1" applyFont="1" applyFill="1" applyBorder="1"/>
    <xf numFmtId="167" fontId="38" fillId="2" borderId="0" xfId="1" applyNumberFormat="1" applyFont="1" applyFill="1" applyAlignment="1">
      <alignment vertical="top"/>
    </xf>
    <xf numFmtId="167" fontId="2" fillId="2" borderId="0" xfId="1" applyNumberFormat="1" applyFont="1" applyFill="1" applyAlignment="1">
      <alignment vertical="top"/>
    </xf>
    <xf numFmtId="0" fontId="25" fillId="0" borderId="33" xfId="0" applyFont="1" applyFill="1" applyBorder="1" applyAlignment="1">
      <alignment horizontal="left"/>
    </xf>
    <xf numFmtId="0" fontId="25" fillId="0" borderId="0" xfId="0" applyFont="1" applyFill="1" applyBorder="1"/>
    <xf numFmtId="0" fontId="25" fillId="2" borderId="17" xfId="0" applyFont="1" applyFill="1" applyBorder="1" applyAlignment="1">
      <alignment horizontal="left" vertical="top" wrapText="1"/>
    </xf>
    <xf numFmtId="0" fontId="25" fillId="2" borderId="18"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3"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24"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34" fillId="9" borderId="32" xfId="0" applyFont="1" applyFill="1" applyBorder="1" applyAlignment="1">
      <alignment horizontal="left"/>
    </xf>
    <xf numFmtId="0" fontId="34" fillId="9" borderId="33" xfId="0" applyFont="1" applyFill="1" applyBorder="1" applyAlignment="1">
      <alignment horizontal="left"/>
    </xf>
    <xf numFmtId="0" fontId="25" fillId="10" borderId="33" xfId="0" applyFont="1" applyFill="1" applyBorder="1" applyAlignment="1">
      <alignment horizontal="left"/>
    </xf>
    <xf numFmtId="0" fontId="25" fillId="11" borderId="33" xfId="0" applyFont="1" applyFill="1" applyBorder="1" applyAlignment="1">
      <alignment horizontal="left"/>
    </xf>
    <xf numFmtId="0" fontId="35" fillId="12" borderId="34" xfId="0" applyFont="1" applyFill="1" applyBorder="1" applyAlignment="1">
      <alignment horizontal="left"/>
    </xf>
    <xf numFmtId="0" fontId="25" fillId="0" borderId="29" xfId="0" applyFont="1" applyFill="1" applyBorder="1" applyAlignment="1">
      <alignment horizontal="left" vertical="top" wrapText="1"/>
    </xf>
    <xf numFmtId="0" fontId="25" fillId="0" borderId="35" xfId="0" applyFont="1" applyFill="1" applyBorder="1" applyAlignment="1">
      <alignment horizontal="left" vertical="top" wrapText="1"/>
    </xf>
    <xf numFmtId="0" fontId="25" fillId="0" borderId="30" xfId="0" applyFont="1" applyFill="1" applyBorder="1" applyAlignment="1">
      <alignment horizontal="left" vertical="top" wrapText="1"/>
    </xf>
    <xf numFmtId="167" fontId="12" fillId="2" borderId="12" xfId="1" applyNumberFormat="1" applyFont="1" applyFill="1" applyBorder="1" applyAlignment="1">
      <alignment horizontal="center" vertical="center"/>
    </xf>
    <xf numFmtId="167" fontId="12" fillId="2" borderId="8" xfId="1" applyNumberFormat="1" applyFont="1" applyFill="1" applyBorder="1" applyAlignment="1">
      <alignment horizontal="center" vertical="center"/>
    </xf>
    <xf numFmtId="167" fontId="12" fillId="2" borderId="11" xfId="1" applyNumberFormat="1" applyFont="1" applyFill="1" applyBorder="1" applyAlignment="1">
      <alignment horizontal="center" vertical="center"/>
    </xf>
    <xf numFmtId="167" fontId="12" fillId="2" borderId="13"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1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2" borderId="14" xfId="1" applyNumberFormat="1" applyFont="1" applyFill="1" applyBorder="1" applyAlignment="1">
      <alignment horizontal="center" vertical="center"/>
    </xf>
    <xf numFmtId="49" fontId="16" fillId="11" borderId="0" xfId="1" applyNumberFormat="1" applyFont="1" applyFill="1" applyBorder="1" applyAlignment="1">
      <alignment horizontal="left" vertical="center" wrapText="1"/>
    </xf>
    <xf numFmtId="2" fontId="12" fillId="2" borderId="0" xfId="1" applyNumberFormat="1" applyFont="1" applyFill="1" applyBorder="1" applyAlignment="1" applyProtection="1">
      <alignment horizontal="left" wrapText="1"/>
      <protection locked="0"/>
    </xf>
    <xf numFmtId="167" fontId="14" fillId="2" borderId="6" xfId="1" applyNumberFormat="1" applyFont="1" applyFill="1" applyBorder="1" applyAlignment="1">
      <alignment horizontal="center" vertical="center" wrapText="1"/>
    </xf>
    <xf numFmtId="167" fontId="16" fillId="11" borderId="0" xfId="1" applyNumberFormat="1" applyFont="1" applyFill="1" applyBorder="1" applyAlignment="1">
      <alignment horizontal="left" vertical="center"/>
    </xf>
    <xf numFmtId="167" fontId="16" fillId="11" borderId="7" xfId="1" applyNumberFormat="1" applyFont="1" applyFill="1" applyBorder="1" applyAlignment="1">
      <alignment horizontal="left" vertical="center"/>
    </xf>
    <xf numFmtId="167" fontId="16" fillId="11" borderId="0" xfId="1" applyNumberFormat="1" applyFont="1" applyFill="1" applyBorder="1" applyAlignment="1">
      <alignment horizontal="left" vertical="center" wrapText="1"/>
    </xf>
    <xf numFmtId="2" fontId="7" fillId="6" borderId="0" xfId="1" applyNumberFormat="1" applyFont="1" applyFill="1" applyBorder="1" applyAlignment="1">
      <alignment horizontal="left" wrapText="1"/>
    </xf>
  </cellXfs>
  <cellStyles count="8">
    <cellStyle name="AggregationLevel 0" xfId="5"/>
    <cellStyle name="Hyperkobling" xfId="7" builtinId="8"/>
    <cellStyle name="Komma" xfId="1" builtinId="3"/>
    <cellStyle name="Normal" xfId="0" builtinId="0"/>
    <cellStyle name="Normal 2" xfId="4"/>
    <cellStyle name="Normal 4" xfId="6"/>
    <cellStyle name="Prosent" xfId="3" builtinId="5"/>
    <cellStyle name="Valuta" xfId="2" builtinId="4"/>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CCFF"/>
      <color rgb="FFF0E6D8"/>
      <color rgb="FF1C75DA"/>
      <color rgb="FF000066"/>
      <color rgb="FF976396"/>
      <color rgb="FF5F5F5F"/>
      <color rgb="FFF16667"/>
      <color rgb="FF54B948"/>
      <color rgb="FFEF558D"/>
      <color rgb="FFE5E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Kontantstrømmer levetid</a:t>
            </a:r>
            <a:r>
              <a:rPr lang="nb-NO" baseline="0"/>
              <a:t> </a:t>
            </a:r>
          </a:p>
          <a:p>
            <a:pPr>
              <a:defRPr/>
            </a:pPr>
            <a:r>
              <a:rPr lang="nb-NO" sz="800" baseline="0"/>
              <a:t>(dagens kroneverdier)</a:t>
            </a:r>
            <a:endParaRPr lang="nb-NO" sz="800"/>
          </a:p>
        </c:rich>
      </c:tx>
      <c:overlay val="0"/>
    </c:title>
    <c:autoTitleDeleted val="0"/>
    <c:plotArea>
      <c:layout>
        <c:manualLayout>
          <c:layoutTarget val="inner"/>
          <c:xMode val="edge"/>
          <c:yMode val="edge"/>
          <c:x val="9.2471652424590073E-2"/>
          <c:y val="0.27938671398469556"/>
          <c:w val="0.92092441687221682"/>
          <c:h val="0.641110468793469"/>
        </c:manualLayout>
      </c:layout>
      <c:lineChart>
        <c:grouping val="standard"/>
        <c:varyColors val="0"/>
        <c:ser>
          <c:idx val="0"/>
          <c:order val="0"/>
          <c:tx>
            <c:strRef>
              <c:f>Motor!$D$27</c:f>
              <c:strCache>
                <c:ptCount val="1"/>
                <c:pt idx="0">
                  <c:v> Innkjøpers plan </c:v>
                </c:pt>
              </c:strCache>
            </c:strRef>
          </c:tx>
          <c:spPr>
            <a:ln w="19050">
              <a:solidFill>
                <a:schemeClr val="bg1"/>
              </a:solidFill>
              <a:prstDash val="sysDash"/>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Motor!$E$27:$Y$27</c:f>
              <c:numCache>
                <c:formatCode>_ * #\ ##0_ ;_ * \-#\ ##0_ ;_ * "-"??_ ;_ @_ </c:formatCode>
                <c:ptCount val="21"/>
                <c:pt idx="0">
                  <c:v>1325000</c:v>
                </c:pt>
                <c:pt idx="1">
                  <c:v>92860.576923076922</c:v>
                </c:pt>
                <c:pt idx="2">
                  <c:v>89289.016272189343</c:v>
                </c:pt>
                <c:pt idx="3">
                  <c:v>85854.823338643604</c:v>
                </c:pt>
                <c:pt idx="4">
                  <c:v>82552.714748695755</c:v>
                </c:pt>
                <c:pt idx="5">
                  <c:v>79377.610335284364</c:v>
                </c:pt>
                <c:pt idx="6">
                  <c:v>-88324.234204724853</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6985-481E-8EC6-019A883B42E1}"/>
            </c:ext>
          </c:extLst>
        </c:ser>
        <c:ser>
          <c:idx val="1"/>
          <c:order val="1"/>
          <c:tx>
            <c:strRef>
              <c:f>Motor!$D$28</c:f>
              <c:strCache>
                <c:ptCount val="1"/>
                <c:pt idx="0">
                  <c:v> Ford Focus Electric </c:v>
                </c:pt>
              </c:strCache>
            </c:strRef>
          </c:tx>
          <c:spPr>
            <a:ln w="19050">
              <a:solidFill>
                <a:schemeClr val="accent1"/>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Motor!$E$28:$Y$28</c:f>
              <c:numCache>
                <c:formatCode>_ * #\ ##0_ ;_ * \-#\ ##0_ ;_ * "-"??_ ;_ @_ </c:formatCode>
                <c:ptCount val="21"/>
                <c:pt idx="0">
                  <c:v>1295000</c:v>
                </c:pt>
                <c:pt idx="1">
                  <c:v>47486.249999999993</c:v>
                </c:pt>
                <c:pt idx="2">
                  <c:v>45659.855769230759</c:v>
                </c:pt>
                <c:pt idx="3">
                  <c:v>43903.7074704142</c:v>
                </c:pt>
                <c:pt idx="4">
                  <c:v>42215.103336936721</c:v>
                </c:pt>
                <c:pt idx="5">
                  <c:v>40591.445516285305</c:v>
                </c:pt>
                <c:pt idx="6">
                  <c:v>-131545.98239673849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A-6985-481E-8EC6-019A883B42E1}"/>
            </c:ext>
          </c:extLst>
        </c:ser>
        <c:ser>
          <c:idx val="2"/>
          <c:order val="2"/>
          <c:tx>
            <c:strRef>
              <c:f>Motor!$D$29</c:f>
              <c:strCache>
                <c:ptCount val="1"/>
                <c:pt idx="0">
                  <c:v> Opel Ampera-e </c:v>
                </c:pt>
              </c:strCache>
            </c:strRef>
          </c:tx>
          <c:spPr>
            <a:ln w="19050">
              <a:solidFill>
                <a:schemeClr val="accent3"/>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Motor!$E$29:$Y$29</c:f>
              <c:numCache>
                <c:formatCode>_ * #\ ##0_ ;_ * \-#\ ##0_ ;_ * "-"??_ ;_ @_ </c:formatCode>
                <c:ptCount val="21"/>
                <c:pt idx="0">
                  <c:v>1449500</c:v>
                </c:pt>
                <c:pt idx="1">
                  <c:v>54219.374999999993</c:v>
                </c:pt>
                <c:pt idx="2">
                  <c:v>52134.014423076915</c:v>
                </c:pt>
                <c:pt idx="3">
                  <c:v>50128.860022189343</c:v>
                </c:pt>
                <c:pt idx="4">
                  <c:v>48200.826944412824</c:v>
                </c:pt>
                <c:pt idx="5">
                  <c:v>46346.948985012321</c:v>
                </c:pt>
                <c:pt idx="6">
                  <c:v>-146362.4434835907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B-6985-481E-8EC6-019A883B42E1}"/>
            </c:ext>
          </c:extLst>
        </c:ser>
        <c:ser>
          <c:idx val="3"/>
          <c:order val="3"/>
          <c:tx>
            <c:strRef>
              <c:f>Motor!$D$30</c:f>
              <c:strCache>
                <c:ptCount val="1"/>
                <c:pt idx="0">
                  <c:v> Nissan Leaf </c:v>
                </c:pt>
              </c:strCache>
            </c:strRef>
          </c:tx>
          <c:spPr>
            <a:ln w="19050">
              <a:solidFill>
                <a:schemeClr val="accent4">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Motor!$E$30:$Y$30</c:f>
              <c:numCache>
                <c:formatCode>_ * #\ ##0_ ;_ * \-#\ ##0_ ;_ * "-"??_ ;_ @_ </c:formatCode>
                <c:ptCount val="21"/>
                <c:pt idx="0">
                  <c:v>1213910.3534548138</c:v>
                </c:pt>
                <c:pt idx="1">
                  <c:v>9692.3076923076915</c:v>
                </c:pt>
                <c:pt idx="2">
                  <c:v>9319.5266272189347</c:v>
                </c:pt>
                <c:pt idx="3">
                  <c:v>8961.083295402821</c:v>
                </c:pt>
                <c:pt idx="4">
                  <c:v>8616.4262455796361</c:v>
                </c:pt>
                <c:pt idx="5">
                  <c:v>8285.0252361342627</c:v>
                </c:pt>
                <c:pt idx="6">
                  <c:v>-127039.10843849227</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C-6985-481E-8EC6-019A883B42E1}"/>
            </c:ext>
          </c:extLst>
        </c:ser>
        <c:ser>
          <c:idx val="4"/>
          <c:order val="4"/>
          <c:tx>
            <c:strRef>
              <c:f>Motor!$D$31</c:f>
              <c:strCache>
                <c:ptCount val="1"/>
                <c:pt idx="0">
                  <c:v> Renault Zoe R90 Z.E. 40 </c:v>
                </c:pt>
              </c:strCache>
            </c:strRef>
          </c:tx>
          <c:spPr>
            <a:ln w="19050">
              <a:solidFill>
                <a:schemeClr val="accent1">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Motor!$E$31:$Y$31</c:f>
              <c:numCache>
                <c:formatCode>_ * #\ ##0_ ;_ * \-#\ ##0_ ;_ * "-"??_ ;_ @_ </c:formatCode>
                <c:ptCount val="21"/>
                <c:pt idx="0">
                  <c:v>1147000</c:v>
                </c:pt>
                <c:pt idx="1">
                  <c:v>43953.461538461532</c:v>
                </c:pt>
                <c:pt idx="2">
                  <c:v>42262.943786982243</c:v>
                </c:pt>
                <c:pt idx="3">
                  <c:v>40637.445949021392</c:v>
                </c:pt>
                <c:pt idx="4">
                  <c:v>39074.467258674405</c:v>
                </c:pt>
                <c:pt idx="5">
                  <c:v>37571.603133340774</c:v>
                </c:pt>
                <c:pt idx="6">
                  <c:v>-114955.2520277134</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D-6985-481E-8EC6-019A883B42E1}"/>
            </c:ext>
          </c:extLst>
        </c:ser>
        <c:ser>
          <c:idx val="5"/>
          <c:order val="5"/>
          <c:tx>
            <c:strRef>
              <c:f>Motor!$D$32</c:f>
              <c:strCache>
                <c:ptCount val="1"/>
                <c:pt idx="0">
                  <c:v> BMW i3 (22 og 33 kWh) </c:v>
                </c:pt>
              </c:strCache>
            </c:strRef>
          </c:tx>
          <c:spPr>
            <a:ln w="19050"/>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Motor!$E$32:$Y$32</c:f>
              <c:numCache>
                <c:formatCode>_ * #\ ##0_ ;_ * \-#\ ##0_ ;_ * "-"??_ ;_ @_ </c:formatCode>
                <c:ptCount val="21"/>
                <c:pt idx="0">
                  <c:v>1780000</c:v>
                </c:pt>
                <c:pt idx="1">
                  <c:v>62040.192307692305</c:v>
                </c:pt>
                <c:pt idx="2">
                  <c:v>59654.031065088755</c:v>
                </c:pt>
                <c:pt idx="3">
                  <c:v>57359.645254893039</c:v>
                </c:pt>
                <c:pt idx="4">
                  <c:v>55153.505052781758</c:v>
                </c:pt>
                <c:pt idx="5">
                  <c:v>53032.216396905533</c:v>
                </c:pt>
                <c:pt idx="6">
                  <c:v>-183467.4602003546</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E-6985-481E-8EC6-019A883B42E1}"/>
            </c:ext>
          </c:extLst>
        </c:ser>
        <c:ser>
          <c:idx val="6"/>
          <c:order val="6"/>
          <c:tx>
            <c:strRef>
              <c:f>Motor!$D$33</c:f>
              <c:strCache>
                <c:ptCount val="1"/>
                <c:pt idx="0">
                  <c:v> &lt;Fyll inn navn på firma her&gt; </c:v>
                </c:pt>
              </c:strCache>
            </c:strRef>
          </c:tx>
          <c:spPr>
            <a:ln w="12700">
              <a:solidFill>
                <a:srgbClr val="E5E652"/>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Motor!$E$33:$Y$33</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85AB-42B5-82BD-A778B03E3EF5}"/>
            </c:ext>
          </c:extLst>
        </c:ser>
        <c:ser>
          <c:idx val="7"/>
          <c:order val="7"/>
          <c:tx>
            <c:strRef>
              <c:f>Motor!$D$34</c:f>
              <c:strCache>
                <c:ptCount val="1"/>
                <c:pt idx="0">
                  <c:v> &lt;Fyll inn navn på firma her&gt; </c:v>
                </c:pt>
              </c:strCache>
            </c:strRef>
          </c:tx>
          <c:spPr>
            <a:ln w="9525"/>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Motor!$E$34:$Y$34</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85AB-42B5-82BD-A778B03E3EF5}"/>
            </c:ext>
          </c:extLst>
        </c:ser>
        <c:dLbls>
          <c:showLegendKey val="0"/>
          <c:showVal val="0"/>
          <c:showCatName val="0"/>
          <c:showSerName val="0"/>
          <c:showPercent val="0"/>
          <c:showBubbleSize val="0"/>
        </c:dLbls>
        <c:smooth val="0"/>
        <c:axId val="81529472"/>
        <c:axId val="81543552"/>
      </c:lineChart>
      <c:catAx>
        <c:axId val="81529472"/>
        <c:scaling>
          <c:orientation val="minMax"/>
        </c:scaling>
        <c:delete val="0"/>
        <c:axPos val="b"/>
        <c:numFmt formatCode="General" sourceLinked="1"/>
        <c:majorTickMark val="none"/>
        <c:minorTickMark val="none"/>
        <c:tickLblPos val="nextTo"/>
        <c:crossAx val="81543552"/>
        <c:crosses val="autoZero"/>
        <c:auto val="1"/>
        <c:lblAlgn val="ctr"/>
        <c:lblOffset val="100"/>
        <c:noMultiLvlLbl val="0"/>
      </c:catAx>
      <c:valAx>
        <c:axId val="81543552"/>
        <c:scaling>
          <c:orientation val="minMax"/>
        </c:scaling>
        <c:delete val="0"/>
        <c:axPos val="l"/>
        <c:numFmt formatCode="_ * #\ ##0_ ;_ * \-#\ ##0_ ;_ * &quot;-&quot;??_ ;_ @_ " sourceLinked="1"/>
        <c:majorTickMark val="none"/>
        <c:minorTickMark val="none"/>
        <c:tickLblPos val="nextTo"/>
        <c:txPr>
          <a:bodyPr/>
          <a:lstStyle/>
          <a:p>
            <a:pPr>
              <a:defRPr b="1"/>
            </a:pPr>
            <a:endParaRPr lang="nb-NO"/>
          </a:p>
        </c:txPr>
        <c:crossAx val="81529472"/>
        <c:crosses val="autoZero"/>
        <c:crossBetween val="between"/>
      </c:valAx>
      <c:spPr>
        <a:solidFill>
          <a:srgbClr val="5F5F5F"/>
        </a:solidFill>
        <a:ln>
          <a:noFill/>
        </a:ln>
      </c:spPr>
    </c:plotArea>
    <c:legend>
      <c:legendPos val="r"/>
      <c:layout>
        <c:manualLayout>
          <c:xMode val="edge"/>
          <c:yMode val="edge"/>
          <c:x val="0.76369788789825443"/>
          <c:y val="5.925474104469336E-2"/>
          <c:w val="0.22569407614763845"/>
          <c:h val="0.66973753280839898"/>
        </c:manualLayout>
      </c:layout>
      <c:overlay val="0"/>
    </c:legend>
    <c:plotVisOnly val="1"/>
    <c:dispBlanksAs val="gap"/>
    <c:showDLblsOverMax val="0"/>
  </c:chart>
  <c:spPr>
    <a:solidFill>
      <a:srgbClr val="5F5F5F"/>
    </a:soli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Nåverdi </a:t>
            </a:r>
            <a:r>
              <a:rPr lang="nb-NO" baseline="0"/>
              <a:t>- innkjøpers plan</a:t>
            </a:r>
            <a:endParaRPr lang="nb-NO"/>
          </a:p>
        </c:rich>
      </c:tx>
      <c:overlay val="0"/>
    </c:title>
    <c:autoTitleDeleted val="0"/>
    <c:plotArea>
      <c:layout/>
      <c:barChart>
        <c:barDir val="bar"/>
        <c:grouping val="stacked"/>
        <c:varyColors val="0"/>
        <c:ser>
          <c:idx val="0"/>
          <c:order val="0"/>
          <c:spPr>
            <a:solidFill>
              <a:srgbClr val="C00000"/>
            </a:solidFill>
          </c:spPr>
          <c:invertIfNegative val="0"/>
          <c:dPt>
            <c:idx val="0"/>
            <c:invertIfNegative val="0"/>
            <c:bubble3D val="0"/>
            <c:spPr>
              <a:solidFill>
                <a:srgbClr val="F16667"/>
              </a:solidFill>
            </c:spPr>
            <c:extLst>
              <c:ext xmlns:c16="http://schemas.microsoft.com/office/drawing/2014/chart" uri="{C3380CC4-5D6E-409C-BE32-E72D297353CC}">
                <c16:uniqueId val="{00000001-7A3F-4436-9C49-39BE0A4E0177}"/>
              </c:ext>
            </c:extLst>
          </c:dPt>
          <c:dPt>
            <c:idx val="1"/>
            <c:invertIfNegative val="0"/>
            <c:bubble3D val="0"/>
            <c:spPr>
              <a:solidFill>
                <a:srgbClr val="FF7D7D"/>
              </a:solidFill>
            </c:spPr>
            <c:extLst>
              <c:ext xmlns:c16="http://schemas.microsoft.com/office/drawing/2014/chart" uri="{C3380CC4-5D6E-409C-BE32-E72D297353CC}">
                <c16:uniqueId val="{00000003-7A3F-4436-9C49-39BE0A4E0177}"/>
              </c:ext>
            </c:extLst>
          </c:dPt>
          <c:dPt>
            <c:idx val="2"/>
            <c:invertIfNegative val="0"/>
            <c:bubble3D val="0"/>
            <c:spPr>
              <a:solidFill>
                <a:srgbClr val="FF7D7D"/>
              </a:solidFill>
            </c:spPr>
            <c:extLst>
              <c:ext xmlns:c16="http://schemas.microsoft.com/office/drawing/2014/chart" uri="{C3380CC4-5D6E-409C-BE32-E72D297353CC}">
                <c16:uniqueId val="{00000005-7A3F-4436-9C49-39BE0A4E0177}"/>
              </c:ext>
            </c:extLst>
          </c:dPt>
          <c:dPt>
            <c:idx val="3"/>
            <c:invertIfNegative val="0"/>
            <c:bubble3D val="0"/>
            <c:spPr>
              <a:solidFill>
                <a:srgbClr val="92D5D5"/>
              </a:solidFill>
            </c:spPr>
            <c:extLst>
              <c:ext xmlns:c16="http://schemas.microsoft.com/office/drawing/2014/chart" uri="{C3380CC4-5D6E-409C-BE32-E72D297353CC}">
                <c16:uniqueId val="{00000007-7A3F-4436-9C49-39BE0A4E0177}"/>
              </c:ext>
            </c:extLst>
          </c:dPt>
          <c:dPt>
            <c:idx val="4"/>
            <c:invertIfNegative val="0"/>
            <c:bubble3D val="0"/>
            <c:spPr>
              <a:solidFill>
                <a:srgbClr val="92D5D5"/>
              </a:solidFill>
            </c:spPr>
            <c:extLst>
              <c:ext xmlns:c16="http://schemas.microsoft.com/office/drawing/2014/chart" uri="{C3380CC4-5D6E-409C-BE32-E72D297353CC}">
                <c16:uniqueId val="{00000009-7A3F-4436-9C49-39BE0A4E0177}"/>
              </c:ext>
            </c:extLst>
          </c:dPt>
          <c:dPt>
            <c:idx val="5"/>
            <c:invertIfNegative val="0"/>
            <c:bubble3D val="0"/>
            <c:spPr>
              <a:solidFill>
                <a:srgbClr val="92D5D5"/>
              </a:solidFill>
            </c:spPr>
            <c:extLst>
              <c:ext xmlns:c16="http://schemas.microsoft.com/office/drawing/2014/chart" uri="{C3380CC4-5D6E-409C-BE32-E72D297353CC}">
                <c16:uniqueId val="{0000000B-7A3F-4436-9C49-39BE0A4E0177}"/>
              </c:ext>
            </c:extLst>
          </c:dPt>
          <c:dPt>
            <c:idx val="6"/>
            <c:invertIfNegative val="0"/>
            <c:bubble3D val="0"/>
            <c:spPr>
              <a:solidFill>
                <a:srgbClr val="92D5D5"/>
              </a:solidFill>
            </c:spPr>
            <c:extLst>
              <c:ext xmlns:c16="http://schemas.microsoft.com/office/drawing/2014/chart" uri="{C3380CC4-5D6E-409C-BE32-E72D297353CC}">
                <c16:uniqueId val="{0000000D-7A3F-4436-9C49-39BE0A4E0177}"/>
              </c:ext>
            </c:extLst>
          </c:dPt>
          <c:dPt>
            <c:idx val="7"/>
            <c:invertIfNegative val="0"/>
            <c:bubble3D val="0"/>
            <c:spPr>
              <a:solidFill>
                <a:srgbClr val="92D5D5"/>
              </a:solidFill>
            </c:spPr>
            <c:extLst>
              <c:ext xmlns:c16="http://schemas.microsoft.com/office/drawing/2014/chart" uri="{C3380CC4-5D6E-409C-BE32-E72D297353CC}">
                <c16:uniqueId val="{0000000F-0F76-463C-915A-22784C83B081}"/>
              </c:ext>
            </c:extLst>
          </c:dPt>
          <c:dPt>
            <c:idx val="8"/>
            <c:invertIfNegative val="0"/>
            <c:bubble3D val="0"/>
            <c:spPr>
              <a:solidFill>
                <a:srgbClr val="92D050"/>
              </a:solidFill>
            </c:spPr>
            <c:extLst>
              <c:ext xmlns:c16="http://schemas.microsoft.com/office/drawing/2014/chart" uri="{C3380CC4-5D6E-409C-BE32-E72D297353CC}">
                <c16:uniqueId val="{0000000F-7A3F-4436-9C49-39BE0A4E0177}"/>
              </c:ext>
            </c:extLst>
          </c:dPt>
          <c:cat>
            <c:strRef>
              <c:f>Motor!$D$37:$D$46</c:f>
              <c:strCache>
                <c:ptCount val="10"/>
                <c:pt idx="0">
                  <c:v>Bil med sommer og vinterdekk</c:v>
                </c:pt>
                <c:pt idx="1">
                  <c:v>Ekstrautstyr: automatgir og ryggesensor</c:v>
                </c:pt>
                <c:pt idx="2">
                  <c:v>Andre investeringskostnader</c:v>
                </c:pt>
                <c:pt idx="3">
                  <c:v>Forsikring</c:v>
                </c:pt>
                <c:pt idx="4">
                  <c:v>Reparasjon og vedlikehold</c:v>
                </c:pt>
                <c:pt idx="5">
                  <c:v>Forbruk (kjørelengde 1 400 mil årlig forbruk fra spekk/test)</c:v>
                </c:pt>
                <c:pt idx="6">
                  <c:v>Årsavgift</c:v>
                </c:pt>
                <c:pt idx="7">
                  <c:v>Andre driftskostnader</c:v>
                </c:pt>
                <c:pt idx="8">
                  <c:v>Avhendingsutgifter - salgsinntekter</c:v>
                </c:pt>
                <c:pt idx="9">
                  <c:v>Sum utgifter i perioden</c:v>
                </c:pt>
              </c:strCache>
            </c:strRef>
          </c:cat>
          <c:val>
            <c:numRef>
              <c:f>Motor!$Z$50:$Z$59</c:f>
              <c:numCache>
                <c:formatCode>_ * #\ ##0_ ;_ * \-#\ ##0_ ;_ * "-"??_ ;_ @_ </c:formatCode>
                <c:ptCount val="10"/>
                <c:pt idx="0">
                  <c:v>1250000</c:v>
                </c:pt>
                <c:pt idx="1">
                  <c:v>75000</c:v>
                </c:pt>
                <c:pt idx="2">
                  <c:v>0</c:v>
                </c:pt>
                <c:pt idx="3">
                  <c:v>209685.47426985402</c:v>
                </c:pt>
                <c:pt idx="4">
                  <c:v>196580.13212798815</c:v>
                </c:pt>
                <c:pt idx="5">
                  <c:v>88067.899193338701</c:v>
                </c:pt>
                <c:pt idx="6">
                  <c:v>11925.861349097948</c:v>
                </c:pt>
                <c:pt idx="7">
                  <c:v>0</c:v>
                </c:pt>
                <c:pt idx="8">
                  <c:v>-164648.85952711367</c:v>
                </c:pt>
                <c:pt idx="9">
                  <c:v>1666610.5074131652</c:v>
                </c:pt>
              </c:numCache>
            </c:numRef>
          </c:val>
          <c:extLst>
            <c:ext xmlns:c16="http://schemas.microsoft.com/office/drawing/2014/chart" uri="{C3380CC4-5D6E-409C-BE32-E72D297353CC}">
              <c16:uniqueId val="{00000010-7A3F-4436-9C49-39BE0A4E0177}"/>
            </c:ext>
          </c:extLst>
        </c:ser>
        <c:dLbls>
          <c:showLegendKey val="0"/>
          <c:showVal val="0"/>
          <c:showCatName val="0"/>
          <c:showSerName val="0"/>
          <c:showPercent val="0"/>
          <c:showBubbleSize val="0"/>
        </c:dLbls>
        <c:gapWidth val="95"/>
        <c:overlap val="100"/>
        <c:axId val="81588992"/>
        <c:axId val="81590528"/>
      </c:barChart>
      <c:catAx>
        <c:axId val="81588992"/>
        <c:scaling>
          <c:orientation val="minMax"/>
        </c:scaling>
        <c:delete val="0"/>
        <c:axPos val="l"/>
        <c:numFmt formatCode="General" sourceLinked="0"/>
        <c:majorTickMark val="none"/>
        <c:minorTickMark val="none"/>
        <c:tickLblPos val="nextTo"/>
        <c:crossAx val="81590528"/>
        <c:crosses val="autoZero"/>
        <c:auto val="1"/>
        <c:lblAlgn val="ctr"/>
        <c:lblOffset val="100"/>
        <c:noMultiLvlLbl val="0"/>
      </c:catAx>
      <c:valAx>
        <c:axId val="81590528"/>
        <c:scaling>
          <c:orientation val="minMax"/>
        </c:scaling>
        <c:delete val="0"/>
        <c:axPos val="b"/>
        <c:numFmt formatCode="_ * #\ ##0_ ;_ * \-#\ ##0_ ;_ * &quot;-&quot;??_ ;_ @_ " sourceLinked="1"/>
        <c:majorTickMark val="none"/>
        <c:minorTickMark val="none"/>
        <c:tickLblPos val="nextTo"/>
        <c:crossAx val="81588992"/>
        <c:crosses val="autoZero"/>
        <c:crossBetween val="between"/>
      </c:valAx>
      <c:dTable>
        <c:showHorzBorder val="1"/>
        <c:showVertBorder val="1"/>
        <c:showOutline val="1"/>
        <c:showKeys val="1"/>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baseline="0"/>
              <a:t>Nåverdi alle kostnader </a:t>
            </a:r>
          </a:p>
        </c:rich>
      </c:tx>
      <c:overlay val="0"/>
    </c:title>
    <c:autoTitleDeleted val="0"/>
    <c:plotArea>
      <c:layout/>
      <c:barChart>
        <c:barDir val="col"/>
        <c:grouping val="stacked"/>
        <c:varyColors val="0"/>
        <c:ser>
          <c:idx val="0"/>
          <c:order val="0"/>
          <c:tx>
            <c:strRef>
              <c:f>'Planlegging og Evaluering'!$D$33</c:f>
              <c:strCache>
                <c:ptCount val="1"/>
                <c:pt idx="0">
                  <c:v>Investering (nåverdi)</c:v>
                </c:pt>
              </c:strCache>
            </c:strRef>
          </c:tx>
          <c:spPr>
            <a:solidFill>
              <a:srgbClr val="F16667"/>
            </a:solidFill>
          </c:spPr>
          <c:invertIfNegative val="0"/>
          <c:cat>
            <c:strRef>
              <c:f>'Planlegging og Evaluering'!$C$34:$C$40</c:f>
              <c:strCache>
                <c:ptCount val="5"/>
                <c:pt idx="0">
                  <c:v> Ford Focus Electric </c:v>
                </c:pt>
                <c:pt idx="1">
                  <c:v> Opel Ampera-e </c:v>
                </c:pt>
                <c:pt idx="2">
                  <c:v> Nissan Leaf </c:v>
                </c:pt>
                <c:pt idx="3">
                  <c:v> Renault Zoe R90 Z.E. 40 </c:v>
                </c:pt>
                <c:pt idx="4">
                  <c:v> BMW i3 (22 og 33 kWh) </c:v>
                </c:pt>
              </c:strCache>
            </c:strRef>
          </c:cat>
          <c:val>
            <c:numRef>
              <c:f>'Planlegging og Evaluering'!$D$34:$D$40</c:f>
              <c:numCache>
                <c:formatCode>_ * #\ ##0_ ;_ * \-#\ ##0_ ;_ * "-"??_ ;_ @_ </c:formatCode>
                <c:ptCount val="7"/>
                <c:pt idx="0">
                  <c:v>1295000</c:v>
                </c:pt>
                <c:pt idx="1">
                  <c:v>1449500</c:v>
                </c:pt>
                <c:pt idx="2">
                  <c:v>1213910.3534548138</c:v>
                </c:pt>
                <c:pt idx="3">
                  <c:v>1147000</c:v>
                </c:pt>
                <c:pt idx="4">
                  <c:v>1780000</c:v>
                </c:pt>
              </c:numCache>
            </c:numRef>
          </c:val>
          <c:extLst>
            <c:ext xmlns:c16="http://schemas.microsoft.com/office/drawing/2014/chart" uri="{C3380CC4-5D6E-409C-BE32-E72D297353CC}">
              <c16:uniqueId val="{00000000-6A20-4CE7-AB1C-F64ED5656180}"/>
            </c:ext>
          </c:extLst>
        </c:ser>
        <c:ser>
          <c:idx val="1"/>
          <c:order val="1"/>
          <c:tx>
            <c:strRef>
              <c:f>'Planlegging og Evaluering'!$E$33</c:f>
              <c:strCache>
                <c:ptCount val="1"/>
                <c:pt idx="0">
                  <c:v>Drift (nåverdi)</c:v>
                </c:pt>
              </c:strCache>
            </c:strRef>
          </c:tx>
          <c:spPr>
            <a:solidFill>
              <a:srgbClr val="92D5D5"/>
            </a:solidFill>
          </c:spPr>
          <c:invertIfNegative val="0"/>
          <c:cat>
            <c:strRef>
              <c:f>'Planlegging og Evaluering'!$C$34:$C$40</c:f>
              <c:strCache>
                <c:ptCount val="5"/>
                <c:pt idx="0">
                  <c:v> Ford Focus Electric </c:v>
                </c:pt>
                <c:pt idx="1">
                  <c:v> Opel Ampera-e </c:v>
                </c:pt>
                <c:pt idx="2">
                  <c:v> Nissan Leaf </c:v>
                </c:pt>
                <c:pt idx="3">
                  <c:v> Renault Zoe R90 Z.E. 40 </c:v>
                </c:pt>
                <c:pt idx="4">
                  <c:v> BMW i3 (22 og 33 kWh) </c:v>
                </c:pt>
              </c:strCache>
            </c:strRef>
          </c:cat>
          <c:val>
            <c:numRef>
              <c:f>'Planlegging og Evaluering'!$E$34:$E$40</c:f>
              <c:numCache>
                <c:formatCode>_ * #\ ##0_ ;_ * \-#\ ##0_ ;_ * "-"??_ ;_ @_ </c:formatCode>
                <c:ptCount val="7"/>
                <c:pt idx="0">
                  <c:v>258886.59816621826</c:v>
                </c:pt>
                <c:pt idx="1">
                  <c:v>295594.39939874172</c:v>
                </c:pt>
                <c:pt idx="2">
                  <c:v>52840.739516003217</c:v>
                </c:pt>
                <c:pt idx="3">
                  <c:v>239626.46314084646</c:v>
                </c:pt>
                <c:pt idx="4">
                  <c:v>338232.10584361665</c:v>
                </c:pt>
              </c:numCache>
            </c:numRef>
          </c:val>
          <c:extLst>
            <c:ext xmlns:c16="http://schemas.microsoft.com/office/drawing/2014/chart" uri="{C3380CC4-5D6E-409C-BE32-E72D297353CC}">
              <c16:uniqueId val="{00000001-6A20-4CE7-AB1C-F64ED5656180}"/>
            </c:ext>
          </c:extLst>
        </c:ser>
        <c:ser>
          <c:idx val="2"/>
          <c:order val="2"/>
          <c:tx>
            <c:strRef>
              <c:f>'Planlegging og Evaluering'!$F$33</c:f>
              <c:strCache>
                <c:ptCount val="1"/>
                <c:pt idx="0">
                  <c:v>Avhending (nåverdi)</c:v>
                </c:pt>
              </c:strCache>
            </c:strRef>
          </c:tx>
          <c:invertIfNegative val="0"/>
          <c:cat>
            <c:strRef>
              <c:f>'Planlegging og Evaluering'!$C$34:$C$40</c:f>
              <c:strCache>
                <c:ptCount val="5"/>
                <c:pt idx="0">
                  <c:v> Ford Focus Electric </c:v>
                </c:pt>
                <c:pt idx="1">
                  <c:v> Opel Ampera-e </c:v>
                </c:pt>
                <c:pt idx="2">
                  <c:v> Nissan Leaf </c:v>
                </c:pt>
                <c:pt idx="3">
                  <c:v> Renault Zoe R90 Z.E. 40 </c:v>
                </c:pt>
                <c:pt idx="4">
                  <c:v> BMW i3 (22 og 33 kWh) </c:v>
                </c:pt>
              </c:strCache>
            </c:strRef>
          </c:cat>
          <c:val>
            <c:numRef>
              <c:f>'Planlegging og Evaluering'!$F$34:$F$40</c:f>
              <c:numCache>
                <c:formatCode>_ * #\ ##0_ ;_ * \-#\ ##0_ ;_ * "-"??_ ;_ @_ </c:formatCode>
                <c:ptCount val="7"/>
                <c:pt idx="0">
                  <c:v>-170576.21847008978</c:v>
                </c:pt>
                <c:pt idx="1">
                  <c:v>-190926.81750764101</c:v>
                </c:pt>
                <c:pt idx="2">
                  <c:v>-135005.47885785214</c:v>
                </c:pt>
                <c:pt idx="3">
                  <c:v>-151081.79350207953</c:v>
                </c:pt>
                <c:pt idx="4">
                  <c:v>-234459.9759666099</c:v>
                </c:pt>
              </c:numCache>
            </c:numRef>
          </c:val>
          <c:extLst>
            <c:ext xmlns:c16="http://schemas.microsoft.com/office/drawing/2014/chart" uri="{C3380CC4-5D6E-409C-BE32-E72D297353CC}">
              <c16:uniqueId val="{00000000-B371-4D6C-A58D-2DFDBE6FF26E}"/>
            </c:ext>
          </c:extLst>
        </c:ser>
        <c:dLbls>
          <c:showLegendKey val="0"/>
          <c:showVal val="0"/>
          <c:showCatName val="0"/>
          <c:showSerName val="0"/>
          <c:showPercent val="0"/>
          <c:showBubbleSize val="0"/>
        </c:dLbls>
        <c:gapWidth val="270"/>
        <c:overlap val="100"/>
        <c:axId val="83908864"/>
        <c:axId val="83922944"/>
      </c:barChart>
      <c:catAx>
        <c:axId val="83908864"/>
        <c:scaling>
          <c:orientation val="minMax"/>
        </c:scaling>
        <c:delete val="0"/>
        <c:axPos val="b"/>
        <c:numFmt formatCode="General" sourceLinked="1"/>
        <c:majorTickMark val="none"/>
        <c:minorTickMark val="none"/>
        <c:tickLblPos val="nextTo"/>
        <c:crossAx val="83922944"/>
        <c:crosses val="autoZero"/>
        <c:auto val="1"/>
        <c:lblAlgn val="ctr"/>
        <c:lblOffset val="100"/>
        <c:noMultiLvlLbl val="0"/>
      </c:catAx>
      <c:valAx>
        <c:axId val="83922944"/>
        <c:scaling>
          <c:orientation val="minMax"/>
        </c:scaling>
        <c:delete val="0"/>
        <c:axPos val="l"/>
        <c:title>
          <c:tx>
            <c:rich>
              <a:bodyPr rot="0" vert="horz"/>
              <a:lstStyle/>
              <a:p>
                <a:pPr>
                  <a:defRPr sz="800"/>
                </a:pPr>
                <a:r>
                  <a:rPr lang="nb-NO" sz="800"/>
                  <a:t>NOK</a:t>
                </a:r>
              </a:p>
            </c:rich>
          </c:tx>
          <c:layout>
            <c:manualLayout>
              <c:xMode val="edge"/>
              <c:yMode val="edge"/>
              <c:x val="9.8850574712643677E-2"/>
              <c:y val="9.7626130067074948E-2"/>
            </c:manualLayout>
          </c:layout>
          <c:overlay val="0"/>
        </c:title>
        <c:numFmt formatCode="_ * #\ ##0_ ;_ * \-#\ ##0_ ;_ * &quot;-&quot;??_ ;_ @_ " sourceLinked="1"/>
        <c:majorTickMark val="none"/>
        <c:minorTickMark val="none"/>
        <c:tickLblPos val="nextTo"/>
        <c:txPr>
          <a:bodyPr/>
          <a:lstStyle/>
          <a:p>
            <a:pPr>
              <a:defRPr b="1"/>
            </a:pPr>
            <a:endParaRPr lang="nb-NO"/>
          </a:p>
        </c:txPr>
        <c:crossAx val="83908864"/>
        <c:crosses val="autoZero"/>
        <c:crossBetween val="between"/>
      </c:valAx>
      <c:dTable>
        <c:showHorzBorder val="1"/>
        <c:showVertBorder val="1"/>
        <c:showOutline val="1"/>
        <c:showKeys val="1"/>
        <c:spPr>
          <a:ln w="9525">
            <a:noFill/>
          </a:ln>
        </c:spPr>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91440</xdr:colOff>
      <xdr:row>0</xdr:row>
      <xdr:rowOff>144780</xdr:rowOff>
    </xdr:from>
    <xdr:to>
      <xdr:col>12</xdr:col>
      <xdr:colOff>38100</xdr:colOff>
      <xdr:row>2</xdr:row>
      <xdr:rowOff>53340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FD03BBB8-0641-45EB-8C57-6F532DE43AA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654165" y="144780"/>
          <a:ext cx="1489710" cy="5562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4396740</xdr:colOff>
      <xdr:row>0</xdr:row>
      <xdr:rowOff>114300</xdr:rowOff>
    </xdr:from>
    <xdr:to>
      <xdr:col>4</xdr:col>
      <xdr:colOff>38100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B08DCA28-056B-445B-9159-E2A4EB04533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7225665" y="114300"/>
          <a:ext cx="1365885" cy="556260"/>
        </a:xfrm>
        <a:prstGeom prst="rect">
          <a:avLst/>
        </a:prstGeom>
        <a:solidFill>
          <a:schemeClr val="bg1"/>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937260</xdr:colOff>
      <xdr:row>0</xdr:row>
      <xdr:rowOff>114300</xdr:rowOff>
    </xdr:from>
    <xdr:to>
      <xdr:col>11</xdr:col>
      <xdr:colOff>15240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A57F7D64-4BF2-4F36-A65E-FD23DE109C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0347960" y="114300"/>
          <a:ext cx="1459230" cy="556260"/>
        </a:xfrm>
        <a:prstGeom prst="rect">
          <a:avLst/>
        </a:prstGeom>
        <a:solidFill>
          <a:schemeClr val="bg1"/>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226862</xdr:colOff>
      <xdr:row>59</xdr:row>
      <xdr:rowOff>130780</xdr:rowOff>
    </xdr:from>
    <xdr:to>
      <xdr:col>8</xdr:col>
      <xdr:colOff>2837</xdr:colOff>
      <xdr:row>75</xdr:row>
      <xdr:rowOff>31720</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226862</xdr:colOff>
      <xdr:row>76</xdr:row>
      <xdr:rowOff>78414</xdr:rowOff>
    </xdr:from>
    <xdr:to>
      <xdr:col>8</xdr:col>
      <xdr:colOff>2837</xdr:colOff>
      <xdr:row>101</xdr:row>
      <xdr:rowOff>133350</xdr:rowOff>
    </xdr:to>
    <xdr:graphicFrame macro="">
      <xdr:nvGraphicFramePr>
        <xdr:cNvPr id="14" name="Diagram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226862</xdr:colOff>
      <xdr:row>43</xdr:row>
      <xdr:rowOff>0</xdr:rowOff>
    </xdr:from>
    <xdr:to>
      <xdr:col>8</xdr:col>
      <xdr:colOff>2837</xdr:colOff>
      <xdr:row>59</xdr:row>
      <xdr:rowOff>79137</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51435</xdr:colOff>
      <xdr:row>9</xdr:row>
      <xdr:rowOff>13822</xdr:rowOff>
    </xdr:from>
    <xdr:to>
      <xdr:col>14</xdr:col>
      <xdr:colOff>133935</xdr:colOff>
      <xdr:row>30</xdr:row>
      <xdr:rowOff>4157</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8052435" y="1832231"/>
          <a:ext cx="4464000" cy="4215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"Innkjøpers plan"</a:t>
          </a:r>
        </a:p>
        <a:p>
          <a:endParaRPr lang="nb-NO" sz="11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Skjemaet "Innkjøpers plan" anvendes for å planlegge anskaffelsens kostnader. Oppgi alle prisene inklusiv merverdiavgift.</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I skjemaets hvite felter registreres hvilke investerings- og driftsposter anskaffelsen består av samt forventet antall enheter og enhetspriser. </a:t>
          </a:r>
          <a:r>
            <a:rPr lang="nb-NO" sz="1000">
              <a:latin typeface="Arial" panose="020B0604020202020204" pitchFamily="34" charset="0"/>
              <a:cs typeface="Arial" panose="020B0604020202020204" pitchFamily="34" charset="0"/>
            </a:rPr>
            <a:t>Forventet</a:t>
          </a:r>
          <a:r>
            <a:rPr lang="nb-NO" sz="1000" baseline="0">
              <a:latin typeface="Arial" panose="020B0604020202020204" pitchFamily="34" charset="0"/>
              <a:cs typeface="Arial" panose="020B0604020202020204" pitchFamily="34" charset="0"/>
            </a:rPr>
            <a:t> tilbudspris regnes ut automatisk etter oppgitt antall enheter multiplisert med oppgitte enhetspriser.</a:t>
          </a: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latin typeface="Arial" panose="020B0604020202020204" pitchFamily="34" charset="0"/>
              <a:cs typeface="Arial" panose="020B0604020202020204" pitchFamily="34" charset="0"/>
            </a:rPr>
            <a:t>Avhendingskostnader er kostnader til demontering, kassasjon, transport, </a:t>
          </a:r>
          <a:r>
            <a:rPr lang="nb-NO" sz="1000" baseline="0">
              <a:solidFill>
                <a:schemeClr val="dk1"/>
              </a:solidFill>
              <a:latin typeface="Arial" panose="020B0604020202020204" pitchFamily="34" charset="0"/>
              <a:ea typeface="+mn-ea"/>
              <a:cs typeface="Arial" panose="020B0604020202020204" pitchFamily="34" charset="0"/>
            </a:rPr>
            <a:t>avfallsgjenvinning etc. Hvis avhendingen gir et overskudd, f.eks ved salg, gis enhetsprisen negativt fortegn.</a:t>
          </a:r>
        </a:p>
        <a:p>
          <a:endParaRPr lang="nb-NO" sz="10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Trengs flere poster enn tre investeringsposter eller fem driftsposter kan flere av postene slås sammen og behandles som én post. Samleposten kan registreres i Investeringskost 3 Andre investeringskostnader eller i Driftsutgift 5 Andre driftskostnader.</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Livssykluskostnadene målt i dagens verdier (nåverdier) er delt i  investeringer, driftskostnader, kostnader til avhending og sum.</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Verdien </a:t>
          </a:r>
          <a:r>
            <a:rPr lang="nb-NO" sz="1000" i="1" baseline="0">
              <a:latin typeface="Arial" panose="020B0604020202020204" pitchFamily="34" charset="0"/>
              <a:cs typeface="Arial" panose="020B0604020202020204" pitchFamily="34" charset="0"/>
            </a:rPr>
            <a:t>sum nominell verdi </a:t>
          </a:r>
          <a:r>
            <a:rPr lang="nb-NO" sz="1000" i="0" baseline="0">
              <a:latin typeface="Arial" panose="020B0604020202020204" pitchFamily="34" charset="0"/>
              <a:cs typeface="Arial" panose="020B0604020202020204" pitchFamily="34" charset="0"/>
            </a:rPr>
            <a:t>kan for de anskaffelser hvor alle utbetalinger går til tilbyder, benyttes som anslag på samlede utbetalinger over kontrakten jamfør FOA § 5-4 (1).</a:t>
          </a:r>
          <a:endParaRPr lang="nb-NO" sz="1000" baseline="0">
            <a:latin typeface="Arial" panose="020B0604020202020204" pitchFamily="34" charset="0"/>
            <a:cs typeface="Arial" panose="020B0604020202020204" pitchFamily="34" charset="0"/>
          </a:endParaRPr>
        </a:p>
      </xdr:txBody>
    </xdr:sp>
    <xdr:clientData/>
  </xdr:twoCellAnchor>
  <xdr:twoCellAnchor>
    <xdr:from>
      <xdr:col>9</xdr:col>
      <xdr:colOff>51435</xdr:colOff>
      <xdr:row>31</xdr:row>
      <xdr:rowOff>17719</xdr:rowOff>
    </xdr:from>
    <xdr:to>
      <xdr:col>14</xdr:col>
      <xdr:colOff>133935</xdr:colOff>
      <xdr:row>39</xdr:row>
      <xdr:rowOff>171449</xdr:rowOff>
    </xdr:to>
    <xdr:sp macro="" textlink="">
      <xdr:nvSpPr>
        <xdr:cNvPr id="5" name="TekstSylinder 4">
          <a:extLst>
            <a:ext uri="{FF2B5EF4-FFF2-40B4-BE49-F238E27FC236}">
              <a16:creationId xmlns:a16="http://schemas.microsoft.com/office/drawing/2014/main" id="{00000000-0008-0000-0300-000005000000}"/>
            </a:ext>
          </a:extLst>
        </xdr:cNvPr>
        <xdr:cNvSpPr txBox="1"/>
      </xdr:nvSpPr>
      <xdr:spPr>
        <a:xfrm>
          <a:off x="8052435" y="6113719"/>
          <a:ext cx="4464000" cy="1885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a:t>
          </a:r>
          <a:r>
            <a:rPr lang="nb-NO" sz="1100" b="1">
              <a:solidFill>
                <a:srgbClr val="00CCFF"/>
              </a:solidFill>
              <a:latin typeface="Arial" panose="020B0604020202020204" pitchFamily="34" charset="0"/>
              <a:cs typeface="Arial" panose="020B0604020202020204" pitchFamily="34" charset="0"/>
            </a:rPr>
            <a:t> "R</a:t>
          </a:r>
          <a:r>
            <a:rPr lang="nb-NO" sz="1200" b="1">
              <a:solidFill>
                <a:srgbClr val="00CCFF"/>
              </a:solidFill>
              <a:latin typeface="Arial" panose="020B0604020202020204" pitchFamily="34" charset="0"/>
              <a:ea typeface="+mn-ea"/>
              <a:cs typeface="Arial" panose="020B0604020202020204" pitchFamily="34" charset="0"/>
            </a:rPr>
            <a:t>esultat og rangering"</a:t>
          </a:r>
          <a:r>
            <a:rPr lang="nb-NO" sz="1200" b="1" baseline="0">
              <a:solidFill>
                <a:srgbClr val="00CCFF"/>
              </a:solidFill>
              <a:latin typeface="Arial" panose="020B0604020202020204" pitchFamily="34" charset="0"/>
              <a:ea typeface="+mn-ea"/>
              <a:cs typeface="Arial" panose="020B0604020202020204" pitchFamily="34" charset="0"/>
            </a:rPr>
            <a:t> </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Skjemaet "Resultater og rangering" anvendes til å sammenlikne livssykluskostnadene til innkomne tilbud fordelt på investering, drift og sum.</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Tilbudene rangeres ut fra laveste kostnad. Laveste kostnad gir beste rangering (1) vist i grønt. Det er en nåverdiberegning av alle kostnadene som ligger til grunn for rangeringen.</a:t>
          </a: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Slett tomme rader dersom det er færre enn syv tilbud.</a:t>
          </a:r>
        </a:p>
        <a:p>
          <a:endParaRPr lang="nb-NO" sz="1000" baseline="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2</xdr:row>
      <xdr:rowOff>30481</xdr:rowOff>
    </xdr:from>
    <xdr:to>
      <xdr:col>14</xdr:col>
      <xdr:colOff>133935</xdr:colOff>
      <xdr:row>8</xdr:row>
      <xdr:rowOff>7620</xdr:rowOff>
    </xdr:to>
    <xdr:sp macro="" textlink="">
      <xdr:nvSpPr>
        <xdr:cNvPr id="9" name="TekstSylinder 8">
          <a:extLst>
            <a:ext uri="{FF2B5EF4-FFF2-40B4-BE49-F238E27FC236}">
              <a16:creationId xmlns:a16="http://schemas.microsoft.com/office/drawing/2014/main" id="{00000000-0008-0000-0300-000009000000}"/>
            </a:ext>
          </a:extLst>
        </xdr:cNvPr>
        <xdr:cNvSpPr txBox="1"/>
      </xdr:nvSpPr>
      <xdr:spPr>
        <a:xfrm>
          <a:off x="8052435" y="688572"/>
          <a:ext cx="4464000" cy="1085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cs typeface="Arial" panose="020B0604020202020204" pitchFamily="34" charset="0"/>
            </a:rPr>
            <a:t>Skjema "Generelle poster"</a:t>
          </a:r>
        </a:p>
        <a:p>
          <a:endParaRPr lang="nb-NO" sz="1200" b="1" baseline="0">
            <a:solidFill>
              <a:schemeClr val="bg2">
                <a:lumMod val="50000"/>
              </a:schemeClr>
            </a:solidFill>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ysClr val="windowText" lastClr="000000"/>
              </a:solidFill>
              <a:latin typeface="Arial" panose="020B0604020202020204" pitchFamily="34" charset="0"/>
              <a:cs typeface="Arial" panose="020B0604020202020204" pitchFamily="34" charset="0"/>
            </a:rPr>
            <a:t>Kalkulasjonsrenten anbefales å følge oppsettet. Årlig forventet prisjustering settes på bakgrunn av forventet endring i driftskostnader i levetiden. Denne baseres enten på kontraktens prisjusteringsmekanisme eller egnet indeks fra SSB.</a:t>
          </a:r>
          <a:endParaRPr lang="nb-NO" sz="1000" b="0"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59</xdr:row>
      <xdr:rowOff>137161</xdr:rowOff>
    </xdr:from>
    <xdr:to>
      <xdr:col>14</xdr:col>
      <xdr:colOff>133935</xdr:colOff>
      <xdr:row>75</xdr:row>
      <xdr:rowOff>38101</xdr:rowOff>
    </xdr:to>
    <xdr:sp macro="" textlink="">
      <xdr:nvSpPr>
        <xdr:cNvPr id="10" name="TekstSylinder 9">
          <a:extLst>
            <a:ext uri="{FF2B5EF4-FFF2-40B4-BE49-F238E27FC236}">
              <a16:creationId xmlns:a16="http://schemas.microsoft.com/office/drawing/2014/main" id="{00000000-0008-0000-0300-00000A000000}"/>
            </a:ext>
          </a:extLst>
        </xdr:cNvPr>
        <xdr:cNvSpPr txBox="1"/>
      </xdr:nvSpPr>
      <xdr:spPr>
        <a:xfrm>
          <a:off x="8052435" y="11852911"/>
          <a:ext cx="4535438" cy="294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Grafen "Kontantstrømmer</a:t>
          </a:r>
          <a:r>
            <a:rPr lang="nb-NO" sz="1200" b="1" baseline="0">
              <a:solidFill>
                <a:srgbClr val="00CCFF"/>
              </a:solidFill>
              <a:latin typeface="Arial" panose="020B0604020202020204" pitchFamily="34" charset="0"/>
              <a:ea typeface="+mn-ea"/>
              <a:cs typeface="Arial" panose="020B0604020202020204" pitchFamily="34" charset="0"/>
            </a:rPr>
            <a:t> levetid"</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Grafen viser kontantstrømmene over levetiden. Innkjøpers plan vises i stiplet hvit graf, mens innkomne tilbud er angitt i øvrige farger.</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I et velfungerende marked vil tilbyderne i en konkurranse respondere med små utslag i priser. Innkjøper må derfor sørge for et tydelig konkurransegrunnlag med minimal usikkerhet om hva som skal leveres.</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Høye utslag i priser bør vurderes og kontrolleres for avvik.</a:t>
          </a:r>
        </a:p>
      </xdr:txBody>
    </xdr:sp>
    <xdr:clientData/>
  </xdr:twoCellAnchor>
  <xdr:twoCellAnchor>
    <xdr:from>
      <xdr:col>9</xdr:col>
      <xdr:colOff>51435</xdr:colOff>
      <xdr:row>42</xdr:row>
      <xdr:rowOff>34766</xdr:rowOff>
    </xdr:from>
    <xdr:to>
      <xdr:col>14</xdr:col>
      <xdr:colOff>133935</xdr:colOff>
      <xdr:row>59</xdr:row>
      <xdr:rowOff>50006</xdr:rowOff>
    </xdr:to>
    <xdr:sp macro="" textlink="">
      <xdr:nvSpPr>
        <xdr:cNvPr id="12" name="TekstSylinder 11">
          <a:extLst>
            <a:ext uri="{FF2B5EF4-FFF2-40B4-BE49-F238E27FC236}">
              <a16:creationId xmlns:a16="http://schemas.microsoft.com/office/drawing/2014/main" id="{00000000-0008-0000-0300-00000C000000}"/>
            </a:ext>
          </a:extLst>
        </xdr:cNvPr>
        <xdr:cNvSpPr txBox="1"/>
      </xdr:nvSpPr>
      <xdr:spPr>
        <a:xfrm>
          <a:off x="8052435" y="8750141"/>
          <a:ext cx="4535438" cy="3015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Diagrammet "Nåverdi alle kostnader"</a:t>
          </a: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Diagrammet viser levetidskostnadene fordelt på postene </a:t>
          </a:r>
          <a:r>
            <a:rPr lang="nb-NO" sz="1000" i="1" baseline="0">
              <a:solidFill>
                <a:schemeClr val="dk1"/>
              </a:solidFill>
              <a:latin typeface="Arial" panose="020B0604020202020204" pitchFamily="34" charset="0"/>
              <a:ea typeface="+mn-ea"/>
              <a:cs typeface="Arial" panose="020B0604020202020204" pitchFamily="34" charset="0"/>
            </a:rPr>
            <a:t>drift</a:t>
          </a:r>
          <a:r>
            <a:rPr lang="nb-NO" sz="1000" baseline="0">
              <a:solidFill>
                <a:schemeClr val="dk1"/>
              </a:solidFill>
              <a:latin typeface="Arial" panose="020B0604020202020204" pitchFamily="34" charset="0"/>
              <a:ea typeface="+mn-ea"/>
              <a:cs typeface="Arial" panose="020B0604020202020204" pitchFamily="34" charset="0"/>
            </a:rPr>
            <a:t> (blå farge) og </a:t>
          </a:r>
          <a:r>
            <a:rPr lang="nb-NO" sz="1000" i="1" baseline="0">
              <a:solidFill>
                <a:schemeClr val="dk1"/>
              </a:solidFill>
              <a:latin typeface="Arial" panose="020B0604020202020204" pitchFamily="34" charset="0"/>
              <a:ea typeface="+mn-ea"/>
              <a:cs typeface="Arial" panose="020B0604020202020204" pitchFamily="34" charset="0"/>
            </a:rPr>
            <a:t>investering</a:t>
          </a:r>
          <a:r>
            <a:rPr lang="nb-NO" sz="1000" baseline="0">
              <a:solidFill>
                <a:schemeClr val="dk1"/>
              </a:solidFill>
              <a:latin typeface="Arial" panose="020B0604020202020204" pitchFamily="34" charset="0"/>
              <a:ea typeface="+mn-ea"/>
              <a:cs typeface="Arial" panose="020B0604020202020204" pitchFamily="34" charset="0"/>
            </a:rPr>
            <a:t> (rød farge).  Kostnader til avhending er vist med grønn farge. Hver tilbyder vises i egen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Leverandøren med beste pristilbud har laveste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Store forskjeller i tilbudene bør vurderes.</a:t>
          </a:r>
        </a:p>
      </xdr:txBody>
    </xdr:sp>
    <xdr:clientData/>
  </xdr:twoCellAnchor>
  <xdr:twoCellAnchor>
    <xdr:from>
      <xdr:col>9</xdr:col>
      <xdr:colOff>51435</xdr:colOff>
      <xdr:row>77</xdr:row>
      <xdr:rowOff>0</xdr:rowOff>
    </xdr:from>
    <xdr:to>
      <xdr:col>14</xdr:col>
      <xdr:colOff>133935</xdr:colOff>
      <xdr:row>101</xdr:row>
      <xdr:rowOff>144780</xdr:rowOff>
    </xdr:to>
    <xdr:sp macro="" textlink="">
      <xdr:nvSpPr>
        <xdr:cNvPr id="13" name="TekstSylinder 12">
          <a:extLst>
            <a:ext uri="{FF2B5EF4-FFF2-40B4-BE49-F238E27FC236}">
              <a16:creationId xmlns:a16="http://schemas.microsoft.com/office/drawing/2014/main" id="{00000000-0008-0000-0300-00000D000000}"/>
            </a:ext>
          </a:extLst>
        </xdr:cNvPr>
        <xdr:cNvSpPr txBox="1"/>
      </xdr:nvSpPr>
      <xdr:spPr>
        <a:xfrm>
          <a:off x="8052435" y="14906625"/>
          <a:ext cx="4535438" cy="4716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Diagrammet "Nåverdi innkjøpers</a:t>
          </a:r>
          <a:r>
            <a:rPr lang="nb-NO" sz="1200" b="1" baseline="0">
              <a:solidFill>
                <a:srgbClr val="00CCFF"/>
              </a:solidFill>
              <a:latin typeface="Arial" panose="020B0604020202020204" pitchFamily="34" charset="0"/>
              <a:ea typeface="+mn-ea"/>
              <a:cs typeface="Arial" panose="020B0604020202020204" pitchFamily="34" charset="0"/>
            </a:rPr>
            <a:t> plan"</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Innkjøpers planlagte levetidskostnader fordelt på postene </a:t>
          </a:r>
          <a:r>
            <a:rPr lang="nb-NO" sz="1000" i="1" baseline="0">
              <a:solidFill>
                <a:schemeClr val="dk1"/>
              </a:solidFill>
              <a:latin typeface="Arial" panose="020B0604020202020204" pitchFamily="34" charset="0"/>
              <a:ea typeface="+mn-ea"/>
              <a:cs typeface="Arial" panose="020B0604020202020204" pitchFamily="34" charset="0"/>
            </a:rPr>
            <a:t>drift</a:t>
          </a:r>
          <a:r>
            <a:rPr lang="nb-NO" sz="1000" baseline="0">
              <a:solidFill>
                <a:schemeClr val="dk1"/>
              </a:solidFill>
              <a:latin typeface="Arial" panose="020B0604020202020204" pitchFamily="34" charset="0"/>
              <a:ea typeface="+mn-ea"/>
              <a:cs typeface="Arial" panose="020B0604020202020204" pitchFamily="34" charset="0"/>
            </a:rPr>
            <a:t> (blå farge) og </a:t>
          </a:r>
          <a:r>
            <a:rPr lang="nb-NO" sz="1000" i="1" baseline="0">
              <a:solidFill>
                <a:schemeClr val="dk1"/>
              </a:solidFill>
              <a:latin typeface="Arial" panose="020B0604020202020204" pitchFamily="34" charset="0"/>
              <a:ea typeface="+mn-ea"/>
              <a:cs typeface="Arial" panose="020B0604020202020204" pitchFamily="34" charset="0"/>
            </a:rPr>
            <a:t>investering</a:t>
          </a:r>
          <a:r>
            <a:rPr lang="nb-NO" sz="1000" baseline="0">
              <a:solidFill>
                <a:schemeClr val="dk1"/>
              </a:solidFill>
              <a:latin typeface="Arial" panose="020B0604020202020204" pitchFamily="34" charset="0"/>
              <a:ea typeface="+mn-ea"/>
              <a:cs typeface="Arial" panose="020B0604020202020204" pitchFamily="34" charset="0"/>
            </a:rPr>
            <a:t> (rød farge) vises. Sum utgifter er vist i hvit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Spesifiserte investeringer og driftsutgifter er vist i tabellen.</a:t>
          </a:r>
        </a:p>
      </xdr:txBody>
    </xdr:sp>
    <xdr:clientData/>
  </xdr:twoCellAnchor>
  <xdr:twoCellAnchor editAs="oneCell">
    <xdr:from>
      <xdr:col>11</xdr:col>
      <xdr:colOff>304800</xdr:colOff>
      <xdr:row>0</xdr:row>
      <xdr:rowOff>99060</xdr:rowOff>
    </xdr:from>
    <xdr:to>
      <xdr:col>14</xdr:col>
      <xdr:colOff>121920</xdr:colOff>
      <xdr:row>2</xdr:row>
      <xdr:rowOff>7620</xdr:rowOff>
    </xdr:to>
    <xdr:pic>
      <xdr:nvPicPr>
        <xdr:cNvPr id="16" name="Bilde 15" descr="C:\Users\aas.DOVRE\AppData\Local\Microsoft\Windows\Temporary Internet Files\Content.Outlook\8XYXILTQ\difi_logo.png">
          <a:extLst>
            <a:ext uri="{FF2B5EF4-FFF2-40B4-BE49-F238E27FC236}">
              <a16:creationId xmlns:a16="http://schemas.microsoft.com/office/drawing/2014/main" id="{00000000-0008-0000-0300-000010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595"/>
        <a:stretch/>
      </xdr:blipFill>
      <xdr:spPr bwMode="auto">
        <a:xfrm>
          <a:off x="11338560" y="99060"/>
          <a:ext cx="1554480" cy="556260"/>
        </a:xfrm>
        <a:prstGeom prst="rect">
          <a:avLst/>
        </a:prstGeom>
        <a:solidFill>
          <a:schemeClr val="bg1"/>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241935</xdr:colOff>
      <xdr:row>1</xdr:row>
      <xdr:rowOff>7620</xdr:rowOff>
    </xdr:from>
    <xdr:to>
      <xdr:col>13</xdr:col>
      <xdr:colOff>207574</xdr:colOff>
      <xdr:row>25</xdr:row>
      <xdr:rowOff>15239</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096375" y="175260"/>
          <a:ext cx="6633139" cy="449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Instruksjon til tilbyder (bør oppdateres av oppdragsgiver før utsendelse) </a:t>
          </a:r>
          <a:endParaRPr lang="nb-NO" sz="1100" b="1">
            <a:solidFill>
              <a:srgbClr val="00CCFF"/>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Prisskjema til venstre skal fylles ut i tråd med de instruksjoner som er gitt i konkurransegrunnlaget.</a:t>
          </a:r>
          <a:br>
            <a:rPr lang="nb-NO" sz="1000" baseline="0">
              <a:latin typeface="Arial" panose="020B0604020202020204" pitchFamily="34" charset="0"/>
              <a:cs typeface="Arial" panose="020B0604020202020204" pitchFamily="34" charset="0"/>
            </a:rPr>
          </a:br>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Tilbyder bes om å ikke endre på skjemaets struktur og forhåndsutfylte informasjon, da dette kan medføre avvisning dersom tilbudet ikke kan sammenlignes med andre tilbud.</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Tilbudsskjemaet skal skrives ut og signeres. Signert skjema legges ved tilbudet sammen med en utfylt versjon i Excel. Ved avvik mellom versjonene gjelder den signerte versjonen.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242667</xdr:colOff>
      <xdr:row>43</xdr:row>
      <xdr:rowOff>76200</xdr:rowOff>
    </xdr:from>
    <xdr:to>
      <xdr:col>24</xdr:col>
      <xdr:colOff>686802</xdr:colOff>
      <xdr:row>52</xdr:row>
      <xdr:rowOff>0</xdr:rowOff>
    </xdr:to>
    <xdr:sp macro="" textlink="">
      <xdr:nvSpPr>
        <xdr:cNvPr id="3" name="TekstSylinder 2">
          <a:extLst>
            <a:ext uri="{FF2B5EF4-FFF2-40B4-BE49-F238E27FC236}">
              <a16:creationId xmlns:a16="http://schemas.microsoft.com/office/drawing/2014/main" id="{00000000-0008-0000-0C00-000003000000}"/>
            </a:ext>
          </a:extLst>
        </xdr:cNvPr>
        <xdr:cNvSpPr txBox="1"/>
      </xdr:nvSpPr>
      <xdr:spPr>
        <a:xfrm>
          <a:off x="242667" y="5605713"/>
          <a:ext cx="17358530" cy="1507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for oppfølging</a:t>
          </a:r>
          <a:r>
            <a:rPr lang="nb-NO" sz="1200" b="1" baseline="0">
              <a:solidFill>
                <a:srgbClr val="00CCFF"/>
              </a:solidFill>
              <a:latin typeface="Arial" panose="020B0604020202020204" pitchFamily="34" charset="0"/>
              <a:ea typeface="+mn-ea"/>
              <a:cs typeface="Arial" panose="020B0604020202020204" pitchFamily="34" charset="0"/>
            </a:rPr>
            <a:t> av inngåtte kontrakter</a:t>
          </a:r>
          <a:endParaRPr lang="nb-NO" sz="1200" b="1">
            <a:solidFill>
              <a:srgbClr val="00CCFF"/>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Skjemaet for oppfølging av kontrakter anvendes for å kontrollere de finansielle sidene blir fulgt opp i praksis. Kontraktsfestede beløp avregnes mot innkomne faktura og avvik bør undersøkes. Fakturaverdiene føres inn i skjemaet.</a:t>
          </a:r>
        </a:p>
        <a:p>
          <a:endParaRPr lang="nb-NO" sz="1000" baseline="0">
            <a:solidFill>
              <a:schemeClr val="dk1"/>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Skriv inn korrekt firmanavn på vinnende tilbud i celle B9. Alle kontraktsfestede beløp vil da automatisk komme fram i skjema.</a:t>
          </a:r>
        </a:p>
      </xdr:txBody>
    </xdr:sp>
    <xdr:clientData/>
  </xdr:twoCellAnchor>
  <xdr:twoCellAnchor editAs="oneCell">
    <xdr:from>
      <xdr:col>21</xdr:col>
      <xdr:colOff>49530</xdr:colOff>
      <xdr:row>1</xdr:row>
      <xdr:rowOff>127635</xdr:rowOff>
    </xdr:from>
    <xdr:to>
      <xdr:col>23</xdr:col>
      <xdr:colOff>97156</xdr:colOff>
      <xdr:row>3</xdr:row>
      <xdr:rowOff>36195</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5813405" y="127635"/>
          <a:ext cx="1527810" cy="556260"/>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5</xdr:row>
      <xdr:rowOff>25549</xdr:rowOff>
    </xdr:from>
    <xdr:to>
      <xdr:col>24</xdr:col>
      <xdr:colOff>876300</xdr:colOff>
      <xdr:row>20</xdr:row>
      <xdr:rowOff>91440</xdr:rowOff>
    </xdr:to>
    <xdr:sp macro="" textlink="">
      <xdr:nvSpPr>
        <xdr:cNvPr id="4" name="TekstSylinder 3">
          <a:extLst>
            <a:ext uri="{FF2B5EF4-FFF2-40B4-BE49-F238E27FC236}">
              <a16:creationId xmlns:a16="http://schemas.microsoft.com/office/drawing/2014/main" id="{00000000-0008-0000-0D00-000004000000}"/>
            </a:ext>
          </a:extLst>
        </xdr:cNvPr>
        <xdr:cNvSpPr txBox="1"/>
      </xdr:nvSpPr>
      <xdr:spPr>
        <a:xfrm>
          <a:off x="14881860" y="1199029"/>
          <a:ext cx="8785860" cy="283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Arkfanen Motor</a:t>
          </a:r>
        </a:p>
        <a:p>
          <a:endParaRPr lang="nb-NO" sz="1100" baseline="0"/>
        </a:p>
        <a:p>
          <a:r>
            <a:rPr lang="nb-NO" sz="1000" baseline="0">
              <a:solidFill>
                <a:schemeClr val="dk1"/>
              </a:solidFill>
              <a:latin typeface="Arial" panose="020B0604020202020204" pitchFamily="34" charset="0"/>
              <a:ea typeface="+mn-ea"/>
              <a:cs typeface="Arial" panose="020B0604020202020204" pitchFamily="34" charset="0"/>
            </a:rPr>
            <a:t>Arkfanen Motor viser dataene i modellen . Dataene hentes fra fanene Tilbud 1 til Tilbud 7. Generelle poster ved antall enheter, enhetspriser, kalkulasjonsrente og levetid hentes fra arkfane Planlegging og Evaluering</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Tabellen 1, tilbudenes K-strøm (diskonterte til dagens verdier) viser  alle poster på analysetidspunktet.   Tabell 2, innkjøpers plan viser kontantstrømmer for innkjøpers planer. Tabellen 3 til og med tabell 8 viser alle tilbudenes  inngitte priser  slik de vil stå fram i året de faller</a:t>
          </a:r>
        </a:p>
      </xdr:txBody>
    </xdr:sp>
    <xdr:clientData/>
  </xdr:twoCellAnchor>
  <xdr:twoCellAnchor editAs="oneCell">
    <xdr:from>
      <xdr:col>12</xdr:col>
      <xdr:colOff>762000</xdr:colOff>
      <xdr:row>0</xdr:row>
      <xdr:rowOff>129540</xdr:rowOff>
    </xdr:from>
    <xdr:to>
      <xdr:col>14</xdr:col>
      <xdr:colOff>7620</xdr:colOff>
      <xdr:row>2</xdr:row>
      <xdr:rowOff>38100</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D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3220700" y="129540"/>
          <a:ext cx="1531620" cy="556260"/>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289560</xdr:colOff>
      <xdr:row>4</xdr:row>
      <xdr:rowOff>38100</xdr:rowOff>
    </xdr:from>
    <xdr:to>
      <xdr:col>15</xdr:col>
      <xdr:colOff>255199</xdr:colOff>
      <xdr:row>11</xdr:row>
      <xdr:rowOff>137160</xdr:rowOff>
    </xdr:to>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5951220" y="1021080"/>
          <a:ext cx="3966139"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SCORE</a:t>
          </a:r>
          <a:endParaRPr lang="nb-NO" sz="1100" b="1">
            <a:solidFill>
              <a:srgbClr val="54B948"/>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effectLst/>
              <a:latin typeface="Arial" panose="020B0604020202020204" pitchFamily="34" charset="0"/>
              <a:ea typeface="+mn-ea"/>
              <a:cs typeface="Arial" panose="020B0604020202020204" pitchFamily="34" charset="0"/>
            </a:rPr>
            <a:t>Arkfanen Score viser poeng og score tilbudene blir gitt ut fra linær- og forholdsmessig beregning</a:t>
          </a:r>
          <a:endParaRPr lang="nb-NO" sz="1000" baseline="0">
            <a:latin typeface="Arial" panose="020B0604020202020204" pitchFamily="34" charset="0"/>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Tilbudet med lavest livstidskostnader gis høyeste poengsum og øvrige tilbud får et fradrag </a:t>
          </a:r>
        </a:p>
        <a:p>
          <a:endParaRPr lang="nb-NO" sz="1000" baseline="0">
            <a:latin typeface="Arial" panose="020B0604020202020204" pitchFamily="34" charset="0"/>
            <a:cs typeface="Arial" panose="020B0604020202020204" pitchFamily="34" charset="0"/>
          </a:endParaRPr>
        </a:p>
      </xdr:txBody>
    </xdr:sp>
    <xdr:clientData/>
  </xdr:twoCellAnchor>
  <xdr:twoCellAnchor>
    <xdr:from>
      <xdr:col>8</xdr:col>
      <xdr:colOff>304800</xdr:colOff>
      <xdr:row>12</xdr:row>
      <xdr:rowOff>22860</xdr:rowOff>
    </xdr:from>
    <xdr:to>
      <xdr:col>15</xdr:col>
      <xdr:colOff>236220</xdr:colOff>
      <xdr:row>19</xdr:row>
      <xdr:rowOff>83820</xdr:rowOff>
    </xdr:to>
    <xdr:sp macro="" textlink="">
      <xdr:nvSpPr>
        <xdr:cNvPr id="3" name="TekstSylinder 2">
          <a:extLst>
            <a:ext uri="{FF2B5EF4-FFF2-40B4-BE49-F238E27FC236}">
              <a16:creationId xmlns:a16="http://schemas.microsoft.com/office/drawing/2014/main" id="{00000000-0008-0000-0E00-000003000000}"/>
            </a:ext>
          </a:extLst>
        </xdr:cNvPr>
        <xdr:cNvSpPr txBox="1"/>
      </xdr:nvSpPr>
      <xdr:spPr>
        <a:xfrm>
          <a:off x="5966460" y="251460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LINEÆR</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Score gjenspeiler den prosentmessige forskjellen i pris. Tilbud som er dobbelt så høye som det laveste vil gi null poeng</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Maks poeng - ((beste pristilbud - tilbudt pris):beste pris) X maks poeng</a:t>
          </a:r>
        </a:p>
      </xdr:txBody>
    </xdr:sp>
    <xdr:clientData/>
  </xdr:twoCellAnchor>
  <xdr:twoCellAnchor>
    <xdr:from>
      <xdr:col>8</xdr:col>
      <xdr:colOff>304800</xdr:colOff>
      <xdr:row>21</xdr:row>
      <xdr:rowOff>60960</xdr:rowOff>
    </xdr:from>
    <xdr:to>
      <xdr:col>15</xdr:col>
      <xdr:colOff>236220</xdr:colOff>
      <xdr:row>28</xdr:row>
      <xdr:rowOff>15240</xdr:rowOff>
    </xdr:to>
    <xdr:sp macro="" textlink="">
      <xdr:nvSpPr>
        <xdr:cNvPr id="4" name="TekstSylinder 3">
          <a:extLst>
            <a:ext uri="{FF2B5EF4-FFF2-40B4-BE49-F238E27FC236}">
              <a16:creationId xmlns:a16="http://schemas.microsoft.com/office/drawing/2014/main" id="{00000000-0008-0000-0E00-000004000000}"/>
            </a:ext>
          </a:extLst>
        </xdr:cNvPr>
        <xdr:cNvSpPr txBox="1"/>
      </xdr:nvSpPr>
      <xdr:spPr>
        <a:xfrm>
          <a:off x="5966460" y="393192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FORHOLDSMESSIG</a:t>
          </a:r>
        </a:p>
        <a:p>
          <a:endParaRPr lang="nb-NO" sz="11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Den forholdsmessige metoden innebærer at fratrekk i poeng svarer til den relative pris- og kvalitetsforskjellen</a:t>
          </a:r>
        </a:p>
        <a:p>
          <a:pPr marL="0" indent="0"/>
          <a:endParaRPr lang="nb-NO" sz="10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(Pristilbud/beste pristilbud) X maks poeng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ne\OneDrive%20-%20Difi\Prosjekt\LCC\LCC_film_videobeta\LCC_20%20&#229;r_Ren_betaversj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FI\bruker\Users\aas.DOVRE\AppData\Local\Microsoft\Windows\Temporary%20Internet%20Files\Content.Outlook\8XYXILTQ\LCC_modell_V10%20%20test%20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jekkliste"/>
      <sheetName val="Begreper"/>
      <sheetName val="Planlegging og Evaluering"/>
      <sheetName val="Prisskjema"/>
      <sheetName val="Tilbud 1"/>
      <sheetName val="Tilbud 2"/>
      <sheetName val="Tilbud 3"/>
      <sheetName val="Tilbud 4"/>
      <sheetName val="Tilbud 5"/>
      <sheetName val="Oppfølging"/>
      <sheetName val="Score"/>
      <sheetName val="Motor"/>
      <sheetName val="Data"/>
      <sheetName val="Versjon"/>
    </sheetNames>
    <sheetDataSet>
      <sheetData sheetId="0"/>
      <sheetData sheetId="1"/>
      <sheetData sheetId="2"/>
      <sheetData sheetId="3">
        <row r="2">
          <cell r="B2" t="str">
            <v>KJØP AV TO MASKINER TIL GULVVASK (inkl.installasjoner, opplæring, forbruksartikler og service)</v>
          </cell>
        </row>
        <row r="5">
          <cell r="C5">
            <v>0.04</v>
          </cell>
        </row>
        <row r="6">
          <cell r="C6">
            <v>5</v>
          </cell>
        </row>
        <row r="7">
          <cell r="C7">
            <v>2.5000000000000001E-2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sheetPr>
  <dimension ref="A1:X38"/>
  <sheetViews>
    <sheetView showGridLines="0" showZeros="0" tabSelected="1" zoomScaleNormal="100" zoomScaleSheetLayoutView="100" workbookViewId="0">
      <selection activeCell="B4" sqref="B4"/>
    </sheetView>
  </sheetViews>
  <sheetFormatPr baseColWidth="10" defaultColWidth="11.5546875" defaultRowHeight="14.4"/>
  <cols>
    <col min="1" max="1" width="3.44140625" style="15" customWidth="1"/>
    <col min="2" max="2" width="11.5546875" style="1"/>
    <col min="3" max="3" width="2.44140625" style="1" bestFit="1" customWidth="1"/>
    <col min="4" max="12" width="11.5546875" style="1"/>
    <col min="13" max="13" width="4.44140625" style="1" customWidth="1"/>
    <col min="14" max="15" width="11.5546875" style="1"/>
    <col min="16" max="16" width="14.5546875" style="1" customWidth="1"/>
    <col min="17" max="16384" width="11.5546875" style="1"/>
  </cols>
  <sheetData>
    <row r="1" spans="1:24" ht="13.5" customHeight="1">
      <c r="A1" s="190"/>
      <c r="B1" s="202"/>
    </row>
    <row r="2" spans="1:24" s="2" customFormat="1" ht="38.1" customHeight="1">
      <c r="B2" s="231" t="s">
        <v>148</v>
      </c>
      <c r="C2" s="232"/>
      <c r="D2" s="232"/>
      <c r="E2" s="232"/>
      <c r="F2" s="232"/>
      <c r="G2" s="232"/>
      <c r="H2" s="89"/>
      <c r="I2" s="89"/>
      <c r="J2" s="89"/>
      <c r="K2" s="89"/>
      <c r="L2" s="89"/>
      <c r="O2" s="260" t="s">
        <v>197</v>
      </c>
      <c r="Q2" s="261" t="s">
        <v>198</v>
      </c>
    </row>
    <row r="3" spans="1:24" ht="6.75" customHeight="1">
      <c r="A3" s="25"/>
      <c r="B3" s="19"/>
      <c r="C3" s="19"/>
      <c r="D3" s="19"/>
      <c r="E3" s="19"/>
      <c r="F3" s="19"/>
      <c r="G3" s="19"/>
      <c r="H3" s="19"/>
      <c r="I3" s="19"/>
      <c r="J3" s="19"/>
      <c r="K3" s="19"/>
      <c r="M3" s="18"/>
      <c r="N3" s="18"/>
      <c r="O3" s="18"/>
      <c r="P3" s="18"/>
      <c r="Q3" s="18"/>
      <c r="R3" s="18"/>
      <c r="S3" s="18"/>
      <c r="T3" s="18"/>
      <c r="U3" s="18"/>
    </row>
    <row r="4" spans="1:24" ht="18" customHeight="1">
      <c r="A4" s="25"/>
      <c r="B4" s="233" t="s">
        <v>201</v>
      </c>
      <c r="C4" s="20"/>
      <c r="D4" s="20"/>
      <c r="E4" s="20"/>
      <c r="F4" s="20"/>
      <c r="G4" s="20"/>
      <c r="H4" s="20"/>
      <c r="I4" s="20"/>
      <c r="J4" s="20"/>
      <c r="K4" s="20"/>
      <c r="L4" s="20"/>
      <c r="M4" s="162"/>
      <c r="N4" s="18"/>
      <c r="O4" s="234" t="s">
        <v>100</v>
      </c>
      <c r="P4" s="234"/>
      <c r="Q4" s="235"/>
      <c r="R4" s="235"/>
      <c r="S4" s="235"/>
      <c r="T4" s="235"/>
      <c r="U4" s="235"/>
      <c r="V4" s="235"/>
      <c r="W4" s="235"/>
      <c r="X4" s="24"/>
    </row>
    <row r="5" spans="1:24" ht="16.5" customHeight="1" thickBot="1">
      <c r="A5" s="25"/>
      <c r="B5" s="21"/>
      <c r="C5" s="22"/>
      <c r="D5" s="22"/>
      <c r="E5" s="21"/>
      <c r="F5" s="21"/>
      <c r="G5" s="21"/>
      <c r="H5" s="22"/>
      <c r="I5" s="22"/>
      <c r="J5" s="22"/>
      <c r="K5" s="22"/>
      <c r="L5" s="22"/>
      <c r="O5" s="236"/>
      <c r="P5" s="237"/>
      <c r="Q5" s="238"/>
      <c r="R5" s="239"/>
      <c r="S5" s="239"/>
      <c r="T5" s="239"/>
      <c r="U5" s="238"/>
      <c r="V5" s="238"/>
      <c r="W5" s="238"/>
      <c r="X5" s="160"/>
    </row>
    <row r="6" spans="1:24" ht="14.25" customHeight="1">
      <c r="A6" s="25"/>
      <c r="B6" s="264" t="s">
        <v>199</v>
      </c>
      <c r="C6" s="265"/>
      <c r="D6" s="265"/>
      <c r="E6" s="265"/>
      <c r="F6" s="265"/>
      <c r="G6" s="265"/>
      <c r="H6" s="265"/>
      <c r="I6" s="265"/>
      <c r="J6" s="265"/>
      <c r="K6" s="265"/>
      <c r="L6" s="265"/>
      <c r="M6" s="266"/>
      <c r="O6" s="235" t="s">
        <v>54</v>
      </c>
      <c r="P6" s="240"/>
      <c r="Q6" s="241"/>
      <c r="R6" s="235" t="s">
        <v>55</v>
      </c>
      <c r="S6" s="241"/>
      <c r="T6" s="235"/>
      <c r="U6" s="235"/>
      <c r="V6" s="235"/>
      <c r="W6" s="235"/>
      <c r="X6" s="23"/>
    </row>
    <row r="7" spans="1:24" ht="16.5" customHeight="1">
      <c r="A7" s="25"/>
      <c r="B7" s="267"/>
      <c r="C7" s="268"/>
      <c r="D7" s="268"/>
      <c r="E7" s="268"/>
      <c r="F7" s="268"/>
      <c r="G7" s="268"/>
      <c r="H7" s="268"/>
      <c r="I7" s="268"/>
      <c r="J7" s="268"/>
      <c r="K7" s="268"/>
      <c r="L7" s="268"/>
      <c r="M7" s="269"/>
      <c r="O7" s="273" t="s">
        <v>56</v>
      </c>
      <c r="P7" s="273"/>
      <c r="Q7" s="273"/>
      <c r="R7" s="242" t="s">
        <v>103</v>
      </c>
      <c r="S7" s="242"/>
      <c r="T7" s="242"/>
      <c r="U7" s="242"/>
      <c r="V7" s="241"/>
      <c r="W7" s="241"/>
      <c r="X7" s="88"/>
    </row>
    <row r="8" spans="1:24" ht="15.75" customHeight="1">
      <c r="A8" s="25"/>
      <c r="B8" s="267"/>
      <c r="C8" s="268"/>
      <c r="D8" s="268"/>
      <c r="E8" s="268"/>
      <c r="F8" s="268"/>
      <c r="G8" s="268"/>
      <c r="H8" s="268"/>
      <c r="I8" s="268"/>
      <c r="J8" s="268"/>
      <c r="K8" s="268"/>
      <c r="L8" s="268"/>
      <c r="M8" s="269"/>
      <c r="O8" s="274" t="s">
        <v>57</v>
      </c>
      <c r="P8" s="274"/>
      <c r="Q8" s="274"/>
      <c r="R8" s="242" t="s">
        <v>104</v>
      </c>
      <c r="S8" s="243"/>
      <c r="T8" s="242"/>
      <c r="U8" s="242"/>
      <c r="V8" s="241"/>
      <c r="W8" s="241"/>
      <c r="X8" s="88"/>
    </row>
    <row r="9" spans="1:24" ht="16.5" customHeight="1">
      <c r="A9" s="25"/>
      <c r="B9" s="267"/>
      <c r="C9" s="268"/>
      <c r="D9" s="268"/>
      <c r="E9" s="268"/>
      <c r="F9" s="268"/>
      <c r="G9" s="268"/>
      <c r="H9" s="268"/>
      <c r="I9" s="268"/>
      <c r="J9" s="268"/>
      <c r="K9" s="268"/>
      <c r="L9" s="268"/>
      <c r="M9" s="269"/>
      <c r="O9" s="274" t="s">
        <v>151</v>
      </c>
      <c r="P9" s="274"/>
      <c r="Q9" s="274"/>
      <c r="R9" s="242" t="s">
        <v>87</v>
      </c>
      <c r="S9" s="243"/>
      <c r="T9" s="242"/>
      <c r="U9" s="242"/>
      <c r="V9" s="241"/>
      <c r="W9" s="241"/>
      <c r="X9" s="88"/>
    </row>
    <row r="10" spans="1:24" ht="14.25" customHeight="1">
      <c r="A10" s="25"/>
      <c r="B10" s="267"/>
      <c r="C10" s="268"/>
      <c r="D10" s="268"/>
      <c r="E10" s="268"/>
      <c r="F10" s="268"/>
      <c r="G10" s="268"/>
      <c r="H10" s="268"/>
      <c r="I10" s="268"/>
      <c r="J10" s="268"/>
      <c r="K10" s="268"/>
      <c r="L10" s="268"/>
      <c r="M10" s="269"/>
      <c r="O10" s="275" t="s">
        <v>58</v>
      </c>
      <c r="P10" s="275"/>
      <c r="Q10" s="275"/>
      <c r="R10" s="242" t="s">
        <v>105</v>
      </c>
      <c r="S10" s="243"/>
      <c r="T10" s="242"/>
      <c r="U10" s="242"/>
      <c r="V10" s="241"/>
      <c r="W10" s="241"/>
      <c r="X10" s="88"/>
    </row>
    <row r="11" spans="1:24" s="88" customFormat="1" ht="15" customHeight="1">
      <c r="A11" s="25"/>
      <c r="B11" s="267"/>
      <c r="C11" s="268"/>
      <c r="D11" s="268"/>
      <c r="E11" s="268"/>
      <c r="F11" s="268"/>
      <c r="G11" s="268"/>
      <c r="H11" s="268"/>
      <c r="I11" s="268"/>
      <c r="J11" s="268"/>
      <c r="K11" s="268"/>
      <c r="L11" s="268"/>
      <c r="M11" s="269"/>
      <c r="O11" s="276" t="s">
        <v>59</v>
      </c>
      <c r="P11" s="276"/>
      <c r="Q11" s="276"/>
      <c r="R11" s="242" t="s">
        <v>60</v>
      </c>
      <c r="S11" s="243"/>
      <c r="T11" s="242"/>
      <c r="U11" s="242"/>
      <c r="V11" s="242"/>
      <c r="W11" s="242"/>
      <c r="X11" s="23"/>
    </row>
    <row r="12" spans="1:24" s="88" customFormat="1" ht="15" customHeight="1">
      <c r="A12" s="25"/>
      <c r="B12" s="267"/>
      <c r="C12" s="268"/>
      <c r="D12" s="268"/>
      <c r="E12" s="268"/>
      <c r="F12" s="268"/>
      <c r="G12" s="268"/>
      <c r="H12" s="268"/>
      <c r="I12" s="268"/>
      <c r="J12" s="268"/>
      <c r="K12" s="268"/>
      <c r="L12" s="268"/>
      <c r="M12" s="269"/>
      <c r="O12" s="276" t="s">
        <v>1</v>
      </c>
      <c r="P12" s="276"/>
      <c r="Q12" s="276"/>
      <c r="R12" s="242" t="s">
        <v>108</v>
      </c>
      <c r="S12" s="243"/>
      <c r="T12" s="242"/>
      <c r="U12" s="242"/>
      <c r="V12" s="242"/>
      <c r="W12" s="242"/>
      <c r="X12" s="23"/>
    </row>
    <row r="13" spans="1:24" s="88" customFormat="1" ht="15" customHeight="1">
      <c r="A13" s="25"/>
      <c r="B13" s="267"/>
      <c r="C13" s="268"/>
      <c r="D13" s="268"/>
      <c r="E13" s="268"/>
      <c r="F13" s="268"/>
      <c r="G13" s="268"/>
      <c r="H13" s="268"/>
      <c r="I13" s="268"/>
      <c r="J13" s="268"/>
      <c r="K13" s="268"/>
      <c r="L13" s="268"/>
      <c r="M13" s="269"/>
      <c r="O13" s="276" t="s">
        <v>2</v>
      </c>
      <c r="P13" s="276"/>
      <c r="Q13" s="276"/>
      <c r="R13" s="242" t="s">
        <v>109</v>
      </c>
      <c r="S13" s="243"/>
      <c r="T13" s="242"/>
      <c r="U13" s="242"/>
      <c r="V13" s="242"/>
      <c r="W13" s="242"/>
      <c r="X13" s="23"/>
    </row>
    <row r="14" spans="1:24" s="88" customFormat="1" ht="15" customHeight="1">
      <c r="A14" s="25"/>
      <c r="B14" s="267"/>
      <c r="C14" s="268"/>
      <c r="D14" s="268"/>
      <c r="E14" s="268"/>
      <c r="F14" s="268"/>
      <c r="G14" s="268"/>
      <c r="H14" s="268"/>
      <c r="I14" s="268"/>
      <c r="J14" s="268"/>
      <c r="K14" s="268"/>
      <c r="L14" s="268"/>
      <c r="M14" s="269"/>
      <c r="N14" s="25"/>
      <c r="O14" s="276" t="s">
        <v>3</v>
      </c>
      <c r="P14" s="276"/>
      <c r="Q14" s="276"/>
      <c r="R14" s="242" t="s">
        <v>110</v>
      </c>
      <c r="S14" s="243"/>
      <c r="T14" s="242"/>
      <c r="U14" s="242"/>
      <c r="V14" s="242"/>
      <c r="W14" s="242"/>
      <c r="X14" s="23"/>
    </row>
    <row r="15" spans="1:24" s="88" customFormat="1" ht="15" customHeight="1">
      <c r="A15" s="25"/>
      <c r="B15" s="267"/>
      <c r="C15" s="268"/>
      <c r="D15" s="268"/>
      <c r="E15" s="268"/>
      <c r="F15" s="268"/>
      <c r="G15" s="268"/>
      <c r="H15" s="268"/>
      <c r="I15" s="268"/>
      <c r="J15" s="268"/>
      <c r="K15" s="268"/>
      <c r="L15" s="268"/>
      <c r="M15" s="269"/>
      <c r="N15" s="25"/>
      <c r="O15" s="276" t="s">
        <v>10</v>
      </c>
      <c r="P15" s="276"/>
      <c r="Q15" s="276"/>
      <c r="R15" s="242" t="s">
        <v>111</v>
      </c>
      <c r="S15" s="243"/>
      <c r="T15" s="242"/>
      <c r="U15" s="242"/>
      <c r="V15" s="242"/>
      <c r="W15" s="242"/>
      <c r="X15" s="23"/>
    </row>
    <row r="16" spans="1:24" s="88" customFormat="1" ht="15" customHeight="1">
      <c r="A16" s="25"/>
      <c r="B16" s="267"/>
      <c r="C16" s="268"/>
      <c r="D16" s="268"/>
      <c r="E16" s="268"/>
      <c r="F16" s="268"/>
      <c r="G16" s="268"/>
      <c r="H16" s="268"/>
      <c r="I16" s="268"/>
      <c r="J16" s="268"/>
      <c r="K16" s="268"/>
      <c r="L16" s="268"/>
      <c r="M16" s="269"/>
      <c r="N16" s="25"/>
      <c r="O16" s="276" t="s">
        <v>12</v>
      </c>
      <c r="P16" s="276"/>
      <c r="Q16" s="276"/>
      <c r="R16" s="242" t="s">
        <v>112</v>
      </c>
      <c r="S16" s="243"/>
      <c r="T16" s="242"/>
      <c r="U16" s="242"/>
      <c r="V16" s="242"/>
      <c r="W16" s="242"/>
      <c r="X16" s="23"/>
    </row>
    <row r="17" spans="1:24" s="88" customFormat="1" ht="15" customHeight="1">
      <c r="A17" s="25"/>
      <c r="B17" s="267"/>
      <c r="C17" s="268"/>
      <c r="D17" s="268"/>
      <c r="E17" s="268"/>
      <c r="F17" s="268"/>
      <c r="G17" s="268"/>
      <c r="H17" s="268"/>
      <c r="I17" s="268"/>
      <c r="J17" s="268"/>
      <c r="K17" s="268"/>
      <c r="L17" s="268"/>
      <c r="M17" s="269"/>
      <c r="N17" s="25"/>
      <c r="O17" s="276" t="s">
        <v>118</v>
      </c>
      <c r="P17" s="276"/>
      <c r="Q17" s="276"/>
      <c r="R17" s="242" t="s">
        <v>126</v>
      </c>
      <c r="S17" s="243"/>
      <c r="T17" s="242"/>
      <c r="U17" s="242"/>
      <c r="V17" s="242"/>
      <c r="W17" s="242"/>
      <c r="X17" s="23"/>
    </row>
    <row r="18" spans="1:24" s="88" customFormat="1" ht="15" customHeight="1">
      <c r="A18" s="25"/>
      <c r="B18" s="267"/>
      <c r="C18" s="268"/>
      <c r="D18" s="268"/>
      <c r="E18" s="268"/>
      <c r="F18" s="268"/>
      <c r="G18" s="268"/>
      <c r="H18" s="268"/>
      <c r="I18" s="268"/>
      <c r="J18" s="268"/>
      <c r="K18" s="268"/>
      <c r="L18" s="268"/>
      <c r="M18" s="269"/>
      <c r="O18" s="276" t="s">
        <v>119</v>
      </c>
      <c r="P18" s="276"/>
      <c r="Q18" s="276"/>
      <c r="R18" s="242" t="s">
        <v>127</v>
      </c>
      <c r="S18" s="243"/>
      <c r="T18" s="242"/>
      <c r="U18" s="242"/>
      <c r="V18" s="242"/>
      <c r="W18" s="242"/>
      <c r="X18" s="23"/>
    </row>
    <row r="19" spans="1:24" s="88" customFormat="1" ht="15" customHeight="1">
      <c r="A19" s="25"/>
      <c r="B19" s="267"/>
      <c r="C19" s="268"/>
      <c r="D19" s="268"/>
      <c r="E19" s="268"/>
      <c r="F19" s="268"/>
      <c r="G19" s="268"/>
      <c r="H19" s="268"/>
      <c r="I19" s="268"/>
      <c r="J19" s="268"/>
      <c r="K19" s="268"/>
      <c r="L19" s="268"/>
      <c r="M19" s="269"/>
      <c r="O19" s="262"/>
      <c r="P19" s="262"/>
      <c r="Q19" s="262"/>
      <c r="R19" s="263"/>
      <c r="S19" s="243"/>
      <c r="T19" s="242"/>
      <c r="U19" s="242"/>
      <c r="V19" s="242"/>
      <c r="W19" s="242"/>
      <c r="X19" s="23"/>
    </row>
    <row r="20" spans="1:24" s="88" customFormat="1" ht="15" customHeight="1">
      <c r="A20" s="25"/>
      <c r="B20" s="267"/>
      <c r="C20" s="268"/>
      <c r="D20" s="268"/>
      <c r="E20" s="268"/>
      <c r="F20" s="268"/>
      <c r="G20" s="268"/>
      <c r="H20" s="268"/>
      <c r="I20" s="268"/>
      <c r="J20" s="268"/>
      <c r="K20" s="268"/>
      <c r="L20" s="268"/>
      <c r="M20" s="269"/>
      <c r="O20" s="275" t="s">
        <v>61</v>
      </c>
      <c r="P20" s="275"/>
      <c r="Q20" s="275"/>
      <c r="R20" s="242" t="s">
        <v>62</v>
      </c>
      <c r="S20" s="243"/>
      <c r="T20" s="242"/>
      <c r="U20" s="242"/>
      <c r="V20" s="242"/>
      <c r="W20" s="242"/>
      <c r="X20" s="23"/>
    </row>
    <row r="21" spans="1:24" s="88" customFormat="1" ht="15" customHeight="1">
      <c r="A21" s="25"/>
      <c r="B21" s="267"/>
      <c r="C21" s="268"/>
      <c r="D21" s="268"/>
      <c r="E21" s="268"/>
      <c r="F21" s="268"/>
      <c r="G21" s="268"/>
      <c r="H21" s="268"/>
      <c r="I21" s="268"/>
      <c r="J21" s="268"/>
      <c r="K21" s="268"/>
      <c r="L21" s="268"/>
      <c r="M21" s="269"/>
      <c r="O21" s="277" t="s">
        <v>65</v>
      </c>
      <c r="P21" s="277"/>
      <c r="Q21" s="277"/>
      <c r="R21" s="243" t="s">
        <v>96</v>
      </c>
      <c r="S21" s="243"/>
      <c r="T21" s="243"/>
      <c r="U21" s="243"/>
      <c r="V21" s="243"/>
      <c r="W21" s="243"/>
      <c r="X21" s="25"/>
    </row>
    <row r="22" spans="1:24" s="88" customFormat="1" ht="15" customHeight="1">
      <c r="A22" s="25"/>
      <c r="B22" s="267"/>
      <c r="C22" s="268"/>
      <c r="D22" s="268"/>
      <c r="E22" s="268"/>
      <c r="F22" s="268"/>
      <c r="G22" s="268"/>
      <c r="H22" s="268"/>
      <c r="I22" s="268"/>
      <c r="J22" s="268"/>
      <c r="K22" s="268"/>
      <c r="L22" s="268"/>
      <c r="M22" s="269"/>
      <c r="O22" s="241"/>
      <c r="P22" s="241"/>
      <c r="Q22" s="241"/>
      <c r="R22" s="241"/>
      <c r="S22" s="241"/>
      <c r="T22" s="241"/>
      <c r="U22" s="241"/>
      <c r="V22" s="241"/>
      <c r="W22" s="241"/>
    </row>
    <row r="23" spans="1:24" s="88" customFormat="1" ht="15" customHeight="1">
      <c r="A23" s="25"/>
      <c r="B23" s="267"/>
      <c r="C23" s="268"/>
      <c r="D23" s="268"/>
      <c r="E23" s="268"/>
      <c r="F23" s="268"/>
      <c r="G23" s="268"/>
      <c r="H23" s="268"/>
      <c r="I23" s="268"/>
      <c r="J23" s="268"/>
      <c r="K23" s="268"/>
      <c r="L23" s="268"/>
      <c r="M23" s="269"/>
      <c r="O23" s="244"/>
      <c r="P23" s="245" t="s">
        <v>53</v>
      </c>
      <c r="Q23" s="242" t="s">
        <v>153</v>
      </c>
      <c r="R23" s="243"/>
      <c r="S23" s="243"/>
      <c r="T23" s="241"/>
      <c r="U23" s="243"/>
      <c r="V23" s="243"/>
      <c r="W23" s="243"/>
      <c r="X23" s="25"/>
    </row>
    <row r="24" spans="1:24" s="88" customFormat="1" ht="13.35" customHeight="1">
      <c r="A24" s="25"/>
      <c r="B24" s="267"/>
      <c r="C24" s="268"/>
      <c r="D24" s="268"/>
      <c r="E24" s="268"/>
      <c r="F24" s="268"/>
      <c r="G24" s="268"/>
      <c r="H24" s="268"/>
      <c r="I24" s="268"/>
      <c r="J24" s="268"/>
      <c r="K24" s="268"/>
      <c r="L24" s="268"/>
      <c r="M24" s="269"/>
      <c r="O24" s="246"/>
      <c r="P24" s="245" t="s">
        <v>53</v>
      </c>
      <c r="Q24" s="242" t="s">
        <v>152</v>
      </c>
      <c r="R24" s="243"/>
      <c r="S24" s="243"/>
      <c r="T24" s="241"/>
      <c r="U24" s="243"/>
      <c r="V24" s="243"/>
      <c r="W24" s="243"/>
      <c r="X24" s="25"/>
    </row>
    <row r="25" spans="1:24" s="88" customFormat="1" ht="15" customHeight="1">
      <c r="A25" s="25"/>
      <c r="B25" s="267"/>
      <c r="C25" s="268"/>
      <c r="D25" s="268"/>
      <c r="E25" s="268"/>
      <c r="F25" s="268"/>
      <c r="G25" s="268"/>
      <c r="H25" s="268"/>
      <c r="I25" s="268"/>
      <c r="J25" s="268"/>
      <c r="K25" s="268"/>
      <c r="L25" s="268"/>
      <c r="M25" s="269"/>
      <c r="O25" s="247"/>
      <c r="P25" s="245" t="s">
        <v>53</v>
      </c>
      <c r="Q25" s="242" t="s">
        <v>63</v>
      </c>
      <c r="R25" s="243"/>
      <c r="S25" s="243"/>
      <c r="T25" s="241"/>
      <c r="U25" s="243"/>
      <c r="V25" s="243"/>
      <c r="W25" s="243"/>
      <c r="X25" s="25"/>
    </row>
    <row r="26" spans="1:24" s="88" customFormat="1" ht="12.75" hidden="1" customHeight="1">
      <c r="A26" s="25"/>
      <c r="B26" s="267"/>
      <c r="C26" s="268"/>
      <c r="D26" s="268"/>
      <c r="E26" s="268"/>
      <c r="F26" s="268"/>
      <c r="G26" s="268"/>
      <c r="H26" s="268"/>
      <c r="I26" s="268"/>
      <c r="J26" s="268"/>
      <c r="K26" s="268"/>
      <c r="L26" s="268"/>
      <c r="M26" s="269"/>
      <c r="O26" s="248"/>
      <c r="P26" s="245" t="s">
        <v>53</v>
      </c>
      <c r="Q26" s="242" t="s">
        <v>64</v>
      </c>
      <c r="R26" s="243"/>
      <c r="S26" s="243"/>
      <c r="T26" s="241"/>
      <c r="U26" s="243"/>
      <c r="V26" s="243"/>
      <c r="W26" s="241"/>
    </row>
    <row r="27" spans="1:24" s="88" customFormat="1" ht="15.6">
      <c r="A27" s="25"/>
      <c r="B27" s="267"/>
      <c r="C27" s="268"/>
      <c r="D27" s="268"/>
      <c r="E27" s="268"/>
      <c r="F27" s="268"/>
      <c r="G27" s="268"/>
      <c r="H27" s="268"/>
      <c r="I27" s="268"/>
      <c r="J27" s="268"/>
      <c r="K27" s="268"/>
      <c r="L27" s="268"/>
      <c r="M27" s="269"/>
      <c r="O27" s="241"/>
      <c r="P27" s="241"/>
      <c r="Q27" s="241"/>
      <c r="R27" s="241"/>
      <c r="S27" s="241"/>
      <c r="T27" s="241"/>
      <c r="U27" s="241"/>
      <c r="V27" s="241"/>
      <c r="W27" s="241"/>
      <c r="X27" s="1"/>
    </row>
    <row r="28" spans="1:24" s="88" customFormat="1" ht="15" customHeight="1">
      <c r="A28" s="25"/>
      <c r="B28" s="267"/>
      <c r="C28" s="268"/>
      <c r="D28" s="268"/>
      <c r="E28" s="268"/>
      <c r="F28" s="268"/>
      <c r="G28" s="268"/>
      <c r="H28" s="268"/>
      <c r="I28" s="268"/>
      <c r="J28" s="268"/>
      <c r="K28" s="268"/>
      <c r="L28" s="268"/>
      <c r="M28" s="269"/>
    </row>
    <row r="29" spans="1:24" s="88" customFormat="1" ht="15" customHeight="1">
      <c r="A29" s="25"/>
      <c r="B29" s="267"/>
      <c r="C29" s="268"/>
      <c r="D29" s="268"/>
      <c r="E29" s="268"/>
      <c r="F29" s="268"/>
      <c r="G29" s="268"/>
      <c r="H29" s="268"/>
      <c r="I29" s="268"/>
      <c r="J29" s="268"/>
      <c r="K29" s="268"/>
      <c r="L29" s="268"/>
      <c r="M29" s="269"/>
    </row>
    <row r="30" spans="1:24" s="88" customFormat="1" ht="12.75" customHeight="1">
      <c r="A30" s="25"/>
      <c r="B30" s="267"/>
      <c r="C30" s="268"/>
      <c r="D30" s="268"/>
      <c r="E30" s="268"/>
      <c r="F30" s="268"/>
      <c r="G30" s="268"/>
      <c r="H30" s="268"/>
      <c r="I30" s="268"/>
      <c r="J30" s="268"/>
      <c r="K30" s="268"/>
      <c r="L30" s="268"/>
      <c r="M30" s="269"/>
    </row>
    <row r="31" spans="1:24" s="88" customFormat="1" ht="12.75" customHeight="1">
      <c r="A31" s="25"/>
      <c r="B31" s="267"/>
      <c r="C31" s="268"/>
      <c r="D31" s="268"/>
      <c r="E31" s="268"/>
      <c r="F31" s="268"/>
      <c r="G31" s="268"/>
      <c r="H31" s="268"/>
      <c r="I31" s="268"/>
      <c r="J31" s="268"/>
      <c r="K31" s="268"/>
      <c r="L31" s="268"/>
      <c r="M31" s="269"/>
    </row>
    <row r="32" spans="1:24" s="88" customFormat="1" ht="13.5" customHeight="1">
      <c r="A32" s="25"/>
      <c r="B32" s="267"/>
      <c r="C32" s="268"/>
      <c r="D32" s="268"/>
      <c r="E32" s="268"/>
      <c r="F32" s="268"/>
      <c r="G32" s="268"/>
      <c r="H32" s="268"/>
      <c r="I32" s="268"/>
      <c r="J32" s="268"/>
      <c r="K32" s="268"/>
      <c r="L32" s="268"/>
      <c r="M32" s="269"/>
    </row>
    <row r="33" spans="1:13" s="88" customFormat="1" ht="15" customHeight="1">
      <c r="A33" s="25"/>
      <c r="B33" s="267"/>
      <c r="C33" s="268"/>
      <c r="D33" s="268"/>
      <c r="E33" s="268"/>
      <c r="F33" s="268"/>
      <c r="G33" s="268"/>
      <c r="H33" s="268"/>
      <c r="I33" s="268"/>
      <c r="J33" s="268"/>
      <c r="K33" s="268"/>
      <c r="L33" s="268"/>
      <c r="M33" s="269"/>
    </row>
    <row r="34" spans="1:13">
      <c r="B34" s="267"/>
      <c r="C34" s="268"/>
      <c r="D34" s="268"/>
      <c r="E34" s="268"/>
      <c r="F34" s="268"/>
      <c r="G34" s="268"/>
      <c r="H34" s="268"/>
      <c r="I34" s="268"/>
      <c r="J34" s="268"/>
      <c r="K34" s="268"/>
      <c r="L34" s="268"/>
      <c r="M34" s="269"/>
    </row>
    <row r="35" spans="1:13">
      <c r="B35" s="267"/>
      <c r="C35" s="268"/>
      <c r="D35" s="268"/>
      <c r="E35" s="268"/>
      <c r="F35" s="268"/>
      <c r="G35" s="268"/>
      <c r="H35" s="268"/>
      <c r="I35" s="268"/>
      <c r="J35" s="268"/>
      <c r="K35" s="268"/>
      <c r="L35" s="268"/>
      <c r="M35" s="269"/>
    </row>
    <row r="36" spans="1:13" ht="15" thickBot="1">
      <c r="B36" s="270"/>
      <c r="C36" s="271"/>
      <c r="D36" s="271"/>
      <c r="E36" s="271"/>
      <c r="F36" s="271"/>
      <c r="G36" s="271"/>
      <c r="H36" s="271"/>
      <c r="I36" s="271"/>
      <c r="J36" s="271"/>
      <c r="K36" s="271"/>
      <c r="L36" s="271"/>
      <c r="M36" s="272"/>
    </row>
    <row r="37" spans="1:13" ht="15">
      <c r="B37" s="249"/>
      <c r="C37" s="249"/>
      <c r="D37" s="249"/>
      <c r="E37" s="249"/>
      <c r="F37" s="249"/>
      <c r="G37" s="249"/>
      <c r="H37" s="249"/>
      <c r="I37" s="249"/>
      <c r="J37" s="249"/>
      <c r="K37" s="249"/>
      <c r="L37" s="249"/>
      <c r="M37" s="249"/>
    </row>
    <row r="38" spans="1:13" ht="15">
      <c r="B38" s="249"/>
      <c r="C38" s="249"/>
      <c r="D38" s="249"/>
      <c r="E38" s="249"/>
      <c r="F38" s="249"/>
      <c r="G38" s="249"/>
      <c r="H38" s="249"/>
      <c r="I38" s="249"/>
      <c r="J38" s="249"/>
      <c r="K38" s="249"/>
      <c r="L38" s="249"/>
      <c r="M38" s="249"/>
    </row>
  </sheetData>
  <sheetProtection sheet="1" objects="1" scenarios="1"/>
  <mergeCells count="15">
    <mergeCell ref="B6:M36"/>
    <mergeCell ref="O7:Q7"/>
    <mergeCell ref="O8:Q8"/>
    <mergeCell ref="O9:Q9"/>
    <mergeCell ref="O10:Q10"/>
    <mergeCell ref="O11:Q11"/>
    <mergeCell ref="O12:Q12"/>
    <mergeCell ref="O13:Q13"/>
    <mergeCell ref="O14:Q14"/>
    <mergeCell ref="O15:Q15"/>
    <mergeCell ref="O16:Q16"/>
    <mergeCell ref="O17:Q17"/>
    <mergeCell ref="O18:Q18"/>
    <mergeCell ref="O20:Q20"/>
    <mergeCell ref="O21:Q21"/>
  </mergeCells>
  <pageMargins left="0.70866141732283472" right="0.70866141732283472" top="0.74803149606299213" bottom="0.74803149606299213" header="0.31496062992125984" footer="0.31496062992125984"/>
  <pageSetup paperSize="9" scale="71" fitToHeight="4" orientation="portrait" r:id="rId1"/>
  <headerFooter>
    <oddFooter>&amp;L&amp;F&amp;C&amp;A&amp;RSide &amp;P/&amp;N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8">
    <tabColor rgb="FF00CCFF"/>
    <pageSetUpPr fitToPage="1"/>
  </sheetPr>
  <dimension ref="B1:J26"/>
  <sheetViews>
    <sheetView showGridLines="0" showZeros="0" zoomScaleNormal="100" workbookViewId="0">
      <selection activeCell="F13" sqref="F13:F25"/>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7.5" customHeight="1">
      <c r="B2" s="89" t="s">
        <v>162</v>
      </c>
      <c r="C2" s="89"/>
      <c r="D2" s="89"/>
      <c r="E2" s="89"/>
      <c r="F2" s="89"/>
      <c r="G2" s="29"/>
    </row>
    <row r="3" spans="2:10">
      <c r="D3" s="10"/>
      <c r="E3" s="10"/>
      <c r="F3" s="10"/>
    </row>
    <row r="4" spans="2:10" s="4" customFormat="1">
      <c r="B4" s="34" t="s">
        <v>16</v>
      </c>
      <c r="C4" s="35" t="s">
        <v>142</v>
      </c>
      <c r="D4" s="34"/>
      <c r="E4" s="34"/>
      <c r="F4" s="34"/>
    </row>
    <row r="5" spans="2:10">
      <c r="B5" s="34" t="s">
        <v>17</v>
      </c>
      <c r="C5" s="35" t="s">
        <v>146</v>
      </c>
      <c r="D5" s="34"/>
      <c r="E5" s="34"/>
      <c r="F5" s="34"/>
    </row>
    <row r="6" spans="2:10" ht="14.4">
      <c r="B6" s="34"/>
      <c r="C6" s="87"/>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0" t="s">
        <v>6</v>
      </c>
      <c r="C11" s="90" t="s">
        <v>5</v>
      </c>
      <c r="D11" s="90" t="s">
        <v>0</v>
      </c>
      <c r="E11" s="199" t="s">
        <v>166</v>
      </c>
      <c r="F11" s="90"/>
      <c r="G11" s="26" t="s">
        <v>2</v>
      </c>
      <c r="H11" s="5" t="s">
        <v>3</v>
      </c>
      <c r="I11" s="5" t="s">
        <v>10</v>
      </c>
      <c r="J11" s="5" t="s">
        <v>12</v>
      </c>
    </row>
    <row r="12" spans="2:10" ht="5.0999999999999996" customHeight="1">
      <c r="B12" s="114"/>
      <c r="C12" s="111"/>
      <c r="D12" s="111"/>
      <c r="E12" s="111"/>
      <c r="F12" s="111"/>
    </row>
    <row r="13" spans="2:10" s="3" customFormat="1">
      <c r="B13" s="115" t="s">
        <v>7</v>
      </c>
      <c r="C13" s="37" t="s">
        <v>131</v>
      </c>
      <c r="D13" s="37">
        <v>5</v>
      </c>
      <c r="E13" s="39">
        <v>356000</v>
      </c>
      <c r="F13" s="112">
        <f>+E13*D13</f>
        <v>1780000</v>
      </c>
      <c r="G13" s="7"/>
      <c r="H13" s="7"/>
      <c r="I13" s="7"/>
      <c r="J13" s="7"/>
    </row>
    <row r="14" spans="2:10" s="3" customFormat="1">
      <c r="B14" s="115" t="s">
        <v>8</v>
      </c>
      <c r="C14" s="37" t="s">
        <v>132</v>
      </c>
      <c r="D14" s="37">
        <v>5</v>
      </c>
      <c r="E14" s="39">
        <v>0</v>
      </c>
      <c r="F14" s="112">
        <f>+E14*D14</f>
        <v>0</v>
      </c>
      <c r="G14" s="7"/>
      <c r="H14" s="7"/>
      <c r="I14" s="7"/>
      <c r="J14" s="7"/>
    </row>
    <row r="15" spans="2:10" s="3" customFormat="1">
      <c r="B15" s="115" t="s">
        <v>9</v>
      </c>
      <c r="C15" s="37" t="s">
        <v>133</v>
      </c>
      <c r="D15" s="37">
        <v>0</v>
      </c>
      <c r="E15" s="39">
        <v>0</v>
      </c>
      <c r="F15" s="112">
        <f>+E15*D15</f>
        <v>0</v>
      </c>
      <c r="G15" s="7"/>
      <c r="H15" s="7"/>
      <c r="I15" s="7"/>
      <c r="J15" s="7"/>
    </row>
    <row r="16" spans="2:10" s="3" customFormat="1" ht="14.4" thickBot="1">
      <c r="B16" s="97" t="s">
        <v>14</v>
      </c>
      <c r="C16" s="95"/>
      <c r="D16" s="104"/>
      <c r="E16" s="99"/>
      <c r="F16" s="113">
        <f>SUM(F13:F15)</f>
        <v>1780000</v>
      </c>
      <c r="G16" s="9">
        <f>SUM(G13:G15)</f>
        <v>0</v>
      </c>
      <c r="H16" s="9">
        <f>SUM(H13:H15)</f>
        <v>0</v>
      </c>
      <c r="I16" s="9">
        <f>SUM(I13:I15)</f>
        <v>0</v>
      </c>
      <c r="J16" s="9">
        <f>SUM(J13:J15)</f>
        <v>0</v>
      </c>
    </row>
    <row r="17" spans="2:10" s="3" customFormat="1" ht="14.4" thickTop="1">
      <c r="B17" s="93"/>
      <c r="C17" s="95"/>
      <c r="D17" s="104"/>
      <c r="E17" s="99"/>
      <c r="F17" s="95"/>
    </row>
    <row r="18" spans="2:10" s="3" customFormat="1">
      <c r="B18" s="115" t="s">
        <v>177</v>
      </c>
      <c r="C18" s="37" t="s">
        <v>134</v>
      </c>
      <c r="D18" s="82">
        <v>5</v>
      </c>
      <c r="E18" s="39">
        <f>+E13*1.31%</f>
        <v>4663.6000000000004</v>
      </c>
      <c r="F18" s="112">
        <f>+E18*D18</f>
        <v>23318</v>
      </c>
      <c r="G18" s="7"/>
      <c r="H18" s="7"/>
      <c r="I18" s="7"/>
      <c r="J18" s="7"/>
    </row>
    <row r="19" spans="2:10" s="3" customFormat="1">
      <c r="B19" s="115" t="s">
        <v>178</v>
      </c>
      <c r="C19" s="37" t="s">
        <v>135</v>
      </c>
      <c r="D19" s="82">
        <v>5</v>
      </c>
      <c r="E19" s="39">
        <f>+E13*0.017</f>
        <v>6052</v>
      </c>
      <c r="F19" s="112">
        <f>+E19*D19</f>
        <v>30260</v>
      </c>
      <c r="G19" s="7"/>
      <c r="H19" s="7"/>
      <c r="I19" s="7"/>
      <c r="J19" s="7"/>
    </row>
    <row r="20" spans="2:10" s="3" customFormat="1">
      <c r="B20" s="115" t="s">
        <v>182</v>
      </c>
      <c r="C20" s="31" t="s">
        <v>136</v>
      </c>
      <c r="D20" s="82">
        <f>1400*1.29*D13</f>
        <v>9030</v>
      </c>
      <c r="E20" s="86">
        <v>0.96</v>
      </c>
      <c r="F20" s="112">
        <f>+E20*D20</f>
        <v>8668.7999999999993</v>
      </c>
      <c r="G20" s="7"/>
      <c r="H20" s="7"/>
      <c r="I20" s="7"/>
      <c r="J20" s="7"/>
    </row>
    <row r="21" spans="2:10" s="3" customFormat="1">
      <c r="B21" s="115" t="s">
        <v>180</v>
      </c>
      <c r="C21" s="37" t="s">
        <v>137</v>
      </c>
      <c r="D21" s="82">
        <v>5</v>
      </c>
      <c r="E21" s="39">
        <v>455</v>
      </c>
      <c r="F21" s="112">
        <f>+E21*D21</f>
        <v>2275</v>
      </c>
      <c r="G21" s="7"/>
      <c r="H21" s="7"/>
      <c r="I21" s="7"/>
      <c r="J21" s="7"/>
    </row>
    <row r="22" spans="2:10" s="3" customFormat="1">
      <c r="B22" s="115" t="s">
        <v>181</v>
      </c>
      <c r="C22" s="37" t="s">
        <v>138</v>
      </c>
      <c r="D22" s="82">
        <v>5</v>
      </c>
      <c r="E22" s="39">
        <v>0</v>
      </c>
      <c r="F22" s="112">
        <f>+E22*D22</f>
        <v>0</v>
      </c>
      <c r="G22" s="7"/>
      <c r="H22" s="7"/>
      <c r="I22" s="7"/>
      <c r="J22" s="7"/>
    </row>
    <row r="23" spans="2:10" s="3" customFormat="1" ht="14.4" thickBot="1">
      <c r="B23" s="97" t="s">
        <v>15</v>
      </c>
      <c r="C23" s="95"/>
      <c r="D23" s="104"/>
      <c r="E23" s="99"/>
      <c r="F23" s="113">
        <f>SUM(F18:F22)</f>
        <v>64521.8</v>
      </c>
      <c r="G23" s="9">
        <f>SUM(G18:G22)</f>
        <v>0</v>
      </c>
      <c r="H23" s="9">
        <f>SUM(H18:H22)</f>
        <v>0</v>
      </c>
      <c r="I23" s="9">
        <f>SUM(I18:I22)</f>
        <v>0</v>
      </c>
      <c r="J23" s="9">
        <f>SUM(J18:J22)</f>
        <v>0</v>
      </c>
    </row>
    <row r="24" spans="2:10" ht="14.4" thickTop="1">
      <c r="B24" s="114"/>
      <c r="C24" s="114"/>
      <c r="D24" s="111"/>
      <c r="E24" s="111"/>
      <c r="F24" s="111"/>
    </row>
    <row r="25" spans="2:10" ht="14.4" thickBot="1">
      <c r="B25" s="115" t="s">
        <v>158</v>
      </c>
      <c r="C25" s="37" t="s">
        <v>139</v>
      </c>
      <c r="D25" s="82">
        <v>5</v>
      </c>
      <c r="E25" s="39">
        <f>-E13/6</f>
        <v>-59333.333333333336</v>
      </c>
      <c r="F25" s="113">
        <f>+E25*D25</f>
        <v>-296666.66666666669</v>
      </c>
    </row>
    <row r="26" spans="2:10" ht="14.4" thickTop="1"/>
  </sheetData>
  <sheetProtection algorithmName="SHA-512" hashValue="PalWiegYnT9wGzpIn275V+MjrbLwQqpGpf4+mrQO+i+2Vu0AjpLSGS9hM2MzqjnbyAoCmrha9G0GlIT9V+Itpg==" saltValue="ydUkLAqlJ4JpNWpPxTqhNg=="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election activeCell="C5" sqref="C5"/>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7.5" customHeight="1">
      <c r="B2" s="89" t="s">
        <v>162</v>
      </c>
      <c r="C2" s="89"/>
      <c r="D2" s="89"/>
      <c r="E2" s="89"/>
      <c r="F2" s="89"/>
      <c r="G2" s="29"/>
    </row>
    <row r="3" spans="2:10">
      <c r="D3" s="10"/>
      <c r="E3" s="10"/>
      <c r="F3" s="10"/>
    </row>
    <row r="4" spans="2:10" s="4" customFormat="1">
      <c r="B4" s="34" t="s">
        <v>16</v>
      </c>
      <c r="C4" s="291" t="s">
        <v>195</v>
      </c>
      <c r="D4" s="291"/>
      <c r="E4" s="291"/>
      <c r="F4" s="291"/>
    </row>
    <row r="5" spans="2:10">
      <c r="B5" s="34" t="s">
        <v>17</v>
      </c>
      <c r="C5" s="208" t="s">
        <v>156</v>
      </c>
      <c r="D5" s="209"/>
      <c r="E5" s="209"/>
      <c r="F5" s="209"/>
    </row>
    <row r="6" spans="2:10" ht="14.4">
      <c r="B6" s="34"/>
      <c r="C6" s="87"/>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0" t="s">
        <v>6</v>
      </c>
      <c r="C11" s="90" t="s">
        <v>5</v>
      </c>
      <c r="D11" s="90" t="s">
        <v>0</v>
      </c>
      <c r="E11" s="199" t="s">
        <v>166</v>
      </c>
      <c r="F11" s="90"/>
      <c r="G11" s="26" t="s">
        <v>2</v>
      </c>
      <c r="H11" s="5" t="s">
        <v>3</v>
      </c>
      <c r="I11" s="5" t="s">
        <v>10</v>
      </c>
      <c r="J11" s="5" t="s">
        <v>12</v>
      </c>
    </row>
    <row r="12" spans="2:10" ht="5.0999999999999996" customHeight="1">
      <c r="B12" s="114"/>
      <c r="C12" s="111"/>
      <c r="D12" s="111"/>
      <c r="E12" s="111"/>
      <c r="F12" s="111"/>
    </row>
    <row r="13" spans="2:10" s="3" customFormat="1">
      <c r="B13" s="115" t="s">
        <v>7</v>
      </c>
      <c r="C13" s="37"/>
      <c r="D13" s="37"/>
      <c r="E13" s="39"/>
      <c r="F13" s="112">
        <f>+E13*D13</f>
        <v>0</v>
      </c>
      <c r="G13" s="7"/>
      <c r="H13" s="7"/>
      <c r="I13" s="7"/>
      <c r="J13" s="7"/>
    </row>
    <row r="14" spans="2:10" s="3" customFormat="1">
      <c r="B14" s="115" t="s">
        <v>8</v>
      </c>
      <c r="C14" s="37"/>
      <c r="D14" s="37"/>
      <c r="E14" s="39"/>
      <c r="F14" s="112">
        <f>+E14*D14</f>
        <v>0</v>
      </c>
      <c r="G14" s="7"/>
      <c r="H14" s="7"/>
      <c r="I14" s="7"/>
      <c r="J14" s="7"/>
    </row>
    <row r="15" spans="2:10" s="3" customFormat="1">
      <c r="B15" s="115" t="s">
        <v>9</v>
      </c>
      <c r="C15" s="37"/>
      <c r="D15" s="37"/>
      <c r="E15" s="39"/>
      <c r="F15" s="112">
        <f>+E15*D15</f>
        <v>0</v>
      </c>
      <c r="G15" s="7"/>
      <c r="H15" s="7"/>
      <c r="I15" s="7"/>
      <c r="J15" s="7"/>
    </row>
    <row r="16" spans="2:10" s="3" customFormat="1" ht="14.4" thickBot="1">
      <c r="B16" s="97" t="s">
        <v>14</v>
      </c>
      <c r="C16" s="95"/>
      <c r="D16" s="104"/>
      <c r="E16" s="99"/>
      <c r="F16" s="113">
        <f>SUM(F13:F15)</f>
        <v>0</v>
      </c>
      <c r="G16" s="9">
        <f>SUM(G13:G15)</f>
        <v>0</v>
      </c>
      <c r="H16" s="9">
        <f>SUM(H13:H15)</f>
        <v>0</v>
      </c>
      <c r="I16" s="9">
        <f>SUM(I13:I15)</f>
        <v>0</v>
      </c>
      <c r="J16" s="9">
        <f>SUM(J13:J15)</f>
        <v>0</v>
      </c>
    </row>
    <row r="17" spans="2:10" s="3" customFormat="1" ht="14.4" thickTop="1">
      <c r="B17" s="93"/>
      <c r="C17" s="95"/>
      <c r="D17" s="104"/>
      <c r="E17" s="99"/>
      <c r="F17" s="95"/>
    </row>
    <row r="18" spans="2:10" s="3" customFormat="1">
      <c r="B18" s="115" t="s">
        <v>177</v>
      </c>
      <c r="C18" s="37"/>
      <c r="D18" s="82"/>
      <c r="E18" s="39"/>
      <c r="F18" s="112">
        <f>+E18*D18</f>
        <v>0</v>
      </c>
      <c r="G18" s="7"/>
      <c r="H18" s="7"/>
      <c r="I18" s="7"/>
      <c r="J18" s="7"/>
    </row>
    <row r="19" spans="2:10" s="3" customFormat="1">
      <c r="B19" s="115" t="s">
        <v>178</v>
      </c>
      <c r="C19" s="37"/>
      <c r="D19" s="82"/>
      <c r="E19" s="39"/>
      <c r="F19" s="112">
        <f>+E19*D19</f>
        <v>0</v>
      </c>
      <c r="G19" s="7"/>
      <c r="H19" s="7"/>
      <c r="I19" s="7"/>
      <c r="J19" s="7"/>
    </row>
    <row r="20" spans="2:10" s="3" customFormat="1">
      <c r="B20" s="115" t="s">
        <v>182</v>
      </c>
      <c r="C20" s="31"/>
      <c r="D20" s="82"/>
      <c r="E20" s="86"/>
      <c r="F20" s="112">
        <f>+E20*D20</f>
        <v>0</v>
      </c>
      <c r="G20" s="7"/>
      <c r="H20" s="7"/>
      <c r="I20" s="7"/>
      <c r="J20" s="7"/>
    </row>
    <row r="21" spans="2:10" s="3" customFormat="1">
      <c r="B21" s="115" t="s">
        <v>180</v>
      </c>
      <c r="C21" s="37"/>
      <c r="D21" s="82"/>
      <c r="E21" s="39"/>
      <c r="F21" s="112">
        <f>+E21*D21</f>
        <v>0</v>
      </c>
      <c r="G21" s="7"/>
      <c r="H21" s="7"/>
      <c r="I21" s="7"/>
      <c r="J21" s="7"/>
    </row>
    <row r="22" spans="2:10" s="3" customFormat="1">
      <c r="B22" s="115" t="s">
        <v>181</v>
      </c>
      <c r="C22" s="37"/>
      <c r="D22" s="82"/>
      <c r="E22" s="39"/>
      <c r="F22" s="112">
        <f>+E22*D22</f>
        <v>0</v>
      </c>
      <c r="G22" s="7"/>
      <c r="H22" s="7"/>
      <c r="I22" s="7"/>
      <c r="J22" s="7"/>
    </row>
    <row r="23" spans="2:10" s="3" customFormat="1" ht="14.4" thickBot="1">
      <c r="B23" s="97" t="s">
        <v>15</v>
      </c>
      <c r="C23" s="95"/>
      <c r="D23" s="104"/>
      <c r="E23" s="99"/>
      <c r="F23" s="113">
        <f>SUM(F18:F22)</f>
        <v>0</v>
      </c>
      <c r="G23" s="9">
        <f>SUM(G18:G22)</f>
        <v>0</v>
      </c>
      <c r="H23" s="9">
        <f>SUM(H18:H22)</f>
        <v>0</v>
      </c>
      <c r="I23" s="9">
        <f>SUM(I18:I22)</f>
        <v>0</v>
      </c>
      <c r="J23" s="9">
        <f>SUM(J18:J22)</f>
        <v>0</v>
      </c>
    </row>
    <row r="24" spans="2:10" ht="14.4" thickTop="1">
      <c r="B24" s="114"/>
      <c r="C24" s="114"/>
      <c r="D24" s="111"/>
      <c r="E24" s="111"/>
      <c r="F24" s="111"/>
    </row>
    <row r="25" spans="2:10" ht="14.4" thickBot="1">
      <c r="B25" s="115" t="s">
        <v>158</v>
      </c>
      <c r="C25" s="37"/>
      <c r="D25" s="82"/>
      <c r="E25" s="39"/>
      <c r="F25" s="113">
        <f>+E25*D25</f>
        <v>0</v>
      </c>
    </row>
    <row r="26" spans="2:10" ht="14.4" thickTop="1"/>
  </sheetData>
  <sheetProtection algorithmName="SHA-512" hashValue="x7xtHTnYPxxBC5ygPsR0fFcoeGjrW+fDo1BvranwO9o5S32JG1CIs2jaCfT5MF/cvbsSGzL/Z7xYfAcWya/gtw==" saltValue="QBr0PLGvWidGawLDAhx4+A==" spinCount="100000" sheet="1" objects="1" scenarios="1"/>
  <mergeCells count="1">
    <mergeCell ref="C4:F4"/>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election activeCell="C6" sqref="C6"/>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7.5" customHeight="1">
      <c r="B2" s="89" t="s">
        <v>162</v>
      </c>
      <c r="C2" s="89"/>
      <c r="D2" s="89"/>
      <c r="E2" s="89"/>
      <c r="F2" s="89"/>
      <c r="G2" s="29"/>
    </row>
    <row r="3" spans="2:10">
      <c r="D3" s="10"/>
      <c r="E3" s="10"/>
      <c r="F3" s="10"/>
    </row>
    <row r="4" spans="2:10" s="4" customFormat="1">
      <c r="B4" s="34" t="s">
        <v>16</v>
      </c>
      <c r="C4" s="35" t="s">
        <v>195</v>
      </c>
      <c r="D4" s="34"/>
      <c r="E4" s="34"/>
      <c r="F4" s="34"/>
    </row>
    <row r="5" spans="2:10">
      <c r="B5" s="34" t="s">
        <v>17</v>
      </c>
      <c r="C5" s="35" t="s">
        <v>156</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0" t="s">
        <v>6</v>
      </c>
      <c r="C11" s="90" t="s">
        <v>5</v>
      </c>
      <c r="D11" s="90" t="s">
        <v>0</v>
      </c>
      <c r="E11" s="199" t="s">
        <v>166</v>
      </c>
      <c r="F11" s="90"/>
      <c r="G11" s="26" t="s">
        <v>2</v>
      </c>
      <c r="H11" s="5" t="s">
        <v>3</v>
      </c>
      <c r="I11" s="5" t="s">
        <v>10</v>
      </c>
      <c r="J11" s="5" t="s">
        <v>12</v>
      </c>
    </row>
    <row r="12" spans="2:10" ht="5.0999999999999996" customHeight="1">
      <c r="B12" s="114"/>
      <c r="C12" s="111"/>
      <c r="D12" s="111"/>
      <c r="E12" s="111"/>
      <c r="F12" s="111"/>
    </row>
    <row r="13" spans="2:10" s="3" customFormat="1">
      <c r="B13" s="115" t="s">
        <v>7</v>
      </c>
      <c r="C13" s="37"/>
      <c r="D13" s="37"/>
      <c r="E13" s="39"/>
      <c r="F13" s="112">
        <f>+E13*D13</f>
        <v>0</v>
      </c>
      <c r="G13" s="7"/>
      <c r="H13" s="7"/>
      <c r="I13" s="7"/>
      <c r="J13" s="7"/>
    </row>
    <row r="14" spans="2:10" s="3" customFormat="1">
      <c r="B14" s="115" t="s">
        <v>8</v>
      </c>
      <c r="C14" s="37"/>
      <c r="D14" s="37"/>
      <c r="E14" s="39"/>
      <c r="F14" s="112">
        <f>+E14*D14</f>
        <v>0</v>
      </c>
      <c r="G14" s="7"/>
      <c r="H14" s="7"/>
      <c r="I14" s="7"/>
      <c r="J14" s="7"/>
    </row>
    <row r="15" spans="2:10" s="3" customFormat="1">
      <c r="B15" s="115" t="s">
        <v>9</v>
      </c>
      <c r="C15" s="37"/>
      <c r="D15" s="37"/>
      <c r="E15" s="39"/>
      <c r="F15" s="112">
        <f>+E15*D15</f>
        <v>0</v>
      </c>
      <c r="G15" s="7"/>
      <c r="H15" s="7"/>
      <c r="I15" s="7"/>
      <c r="J15" s="7"/>
    </row>
    <row r="16" spans="2:10" s="3" customFormat="1" ht="14.4" thickBot="1">
      <c r="B16" s="97" t="s">
        <v>14</v>
      </c>
      <c r="C16" s="95"/>
      <c r="D16" s="104"/>
      <c r="E16" s="99"/>
      <c r="F16" s="113">
        <f>SUM(F13:F15)</f>
        <v>0</v>
      </c>
      <c r="G16" s="9">
        <f>SUM(G13:G15)</f>
        <v>0</v>
      </c>
      <c r="H16" s="9">
        <f>SUM(H13:H15)</f>
        <v>0</v>
      </c>
      <c r="I16" s="9">
        <f>SUM(I13:I15)</f>
        <v>0</v>
      </c>
      <c r="J16" s="9">
        <f>SUM(J13:J15)</f>
        <v>0</v>
      </c>
    </row>
    <row r="17" spans="2:10" s="3" customFormat="1" ht="14.4" thickTop="1">
      <c r="B17" s="93"/>
      <c r="C17" s="95"/>
      <c r="D17" s="104"/>
      <c r="E17" s="99"/>
      <c r="F17" s="95"/>
    </row>
    <row r="18" spans="2:10" s="3" customFormat="1">
      <c r="B18" s="115" t="s">
        <v>177</v>
      </c>
      <c r="C18" s="37"/>
      <c r="D18" s="82"/>
      <c r="E18" s="39"/>
      <c r="F18" s="112">
        <f>+E18*D18</f>
        <v>0</v>
      </c>
      <c r="G18" s="7"/>
      <c r="H18" s="7"/>
      <c r="I18" s="7"/>
      <c r="J18" s="7"/>
    </row>
    <row r="19" spans="2:10" s="3" customFormat="1">
      <c r="B19" s="115" t="s">
        <v>178</v>
      </c>
      <c r="C19" s="37"/>
      <c r="D19" s="82"/>
      <c r="E19" s="39"/>
      <c r="F19" s="112">
        <f>+E19*D19</f>
        <v>0</v>
      </c>
      <c r="G19" s="7"/>
      <c r="H19" s="7"/>
      <c r="I19" s="7"/>
      <c r="J19" s="7"/>
    </row>
    <row r="20" spans="2:10" s="3" customFormat="1">
      <c r="B20" s="115" t="s">
        <v>182</v>
      </c>
      <c r="C20" s="31"/>
      <c r="D20" s="82"/>
      <c r="E20" s="39"/>
      <c r="F20" s="112">
        <f>+E20*D20</f>
        <v>0</v>
      </c>
      <c r="G20" s="7"/>
      <c r="H20" s="7"/>
      <c r="I20" s="7"/>
      <c r="J20" s="7"/>
    </row>
    <row r="21" spans="2:10" s="3" customFormat="1">
      <c r="B21" s="115" t="s">
        <v>180</v>
      </c>
      <c r="C21" s="37"/>
      <c r="D21" s="82"/>
      <c r="E21" s="39"/>
      <c r="F21" s="112">
        <f>+E21*D21</f>
        <v>0</v>
      </c>
      <c r="G21" s="7"/>
      <c r="H21" s="7"/>
      <c r="I21" s="7"/>
      <c r="J21" s="7"/>
    </row>
    <row r="22" spans="2:10" s="3" customFormat="1">
      <c r="B22" s="115" t="s">
        <v>181</v>
      </c>
      <c r="C22" s="37"/>
      <c r="D22" s="82"/>
      <c r="E22" s="39"/>
      <c r="F22" s="112">
        <f>+E22*D22</f>
        <v>0</v>
      </c>
      <c r="G22" s="7"/>
      <c r="H22" s="7"/>
      <c r="I22" s="7"/>
      <c r="J22" s="7"/>
    </row>
    <row r="23" spans="2:10" s="3" customFormat="1" ht="14.4" thickBot="1">
      <c r="B23" s="97" t="s">
        <v>15</v>
      </c>
      <c r="C23" s="95"/>
      <c r="D23" s="104"/>
      <c r="E23" s="99"/>
      <c r="F23" s="113">
        <f>SUM(F18:F22)</f>
        <v>0</v>
      </c>
      <c r="G23" s="9">
        <f>SUM(G18:G22)</f>
        <v>0</v>
      </c>
      <c r="H23" s="9">
        <f>SUM(H18:H22)</f>
        <v>0</v>
      </c>
      <c r="I23" s="9">
        <f>SUM(I18:I22)</f>
        <v>0</v>
      </c>
      <c r="J23" s="9">
        <f>SUM(J18:J22)</f>
        <v>0</v>
      </c>
    </row>
    <row r="24" spans="2:10" ht="14.4" thickTop="1">
      <c r="B24" s="114"/>
      <c r="C24" s="114"/>
      <c r="D24" s="111"/>
      <c r="E24" s="111"/>
      <c r="F24" s="111"/>
    </row>
    <row r="25" spans="2:10" ht="14.4" thickBot="1">
      <c r="B25" s="115" t="s">
        <v>158</v>
      </c>
      <c r="C25" s="37"/>
      <c r="D25" s="82"/>
      <c r="E25" s="39"/>
      <c r="F25" s="113">
        <f>+E25*D25</f>
        <v>0</v>
      </c>
    </row>
    <row r="26" spans="2:10" ht="14.4" thickTop="1"/>
  </sheetData>
  <sheetProtection algorithmName="SHA-512" hashValue="iV2C+XEErDwRcFTg+C7eWaO4fb+qew9or+qs7DxLt5yiZbt0XFrEltBHqoOaVvAO4KMln4Pewd2J2nXnviEsBw==" saltValue="ZOivLHcJcdsm/28YZUzQZQ=="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D8"/>
    <pageSetUpPr fitToPage="1"/>
  </sheetPr>
  <dimension ref="B1:Y45"/>
  <sheetViews>
    <sheetView showGridLines="0" showZeros="0" topLeftCell="B1" zoomScaleNormal="100" workbookViewId="0">
      <selection activeCell="C26" sqref="C26"/>
    </sheetView>
  </sheetViews>
  <sheetFormatPr baseColWidth="10" defaultColWidth="17.44140625" defaultRowHeight="13.8"/>
  <cols>
    <col min="1" max="1" width="3.44140625" style="2" customWidth="1"/>
    <col min="2" max="2" width="26.5546875" style="10" customWidth="1"/>
    <col min="3" max="3" width="31.5546875" style="2" customWidth="1"/>
    <col min="4" max="4" width="11" style="2" customWidth="1"/>
    <col min="5" max="5" width="10.44140625" style="2" customWidth="1"/>
    <col min="6" max="6" width="12.33203125" style="2" bestFit="1" customWidth="1"/>
    <col min="7" max="8" width="10.44140625" style="2" bestFit="1" customWidth="1"/>
    <col min="9" max="9" width="10.88671875" style="2" customWidth="1"/>
    <col min="10" max="10" width="11" style="2" customWidth="1"/>
    <col min="11" max="24" width="10.6640625" style="2" customWidth="1"/>
    <col min="25" max="25" width="10.44140625" style="2" bestFit="1" customWidth="1"/>
    <col min="26" max="26" width="18.88671875" style="2" customWidth="1"/>
    <col min="27" max="16384" width="17.44140625" style="2"/>
  </cols>
  <sheetData>
    <row r="1" spans="2:25">
      <c r="B1" s="2"/>
      <c r="C1" s="226"/>
    </row>
    <row r="2" spans="2:25" ht="13.5" customHeight="1">
      <c r="B2" s="2"/>
      <c r="C2" s="226"/>
      <c r="D2" s="8"/>
      <c r="E2" s="8"/>
      <c r="F2" s="8"/>
      <c r="G2" s="8"/>
      <c r="H2" s="8"/>
      <c r="I2" s="8"/>
      <c r="J2" s="8"/>
      <c r="K2" s="8"/>
      <c r="L2" s="8"/>
      <c r="M2" s="8"/>
      <c r="N2" s="8"/>
      <c r="O2" s="8"/>
      <c r="P2" s="8"/>
      <c r="Q2" s="8"/>
      <c r="R2" s="8"/>
      <c r="S2" s="8"/>
      <c r="T2" s="8"/>
      <c r="U2" s="8"/>
      <c r="V2" s="8"/>
      <c r="W2" s="8"/>
      <c r="X2" s="8"/>
    </row>
    <row r="3" spans="2:25" ht="38.1" customHeight="1">
      <c r="B3" s="89" t="s">
        <v>74</v>
      </c>
      <c r="C3" s="89"/>
      <c r="D3" s="89"/>
      <c r="E3" s="89"/>
      <c r="F3" s="89"/>
      <c r="G3" s="89"/>
      <c r="H3" s="89"/>
      <c r="I3" s="89"/>
      <c r="J3" s="89"/>
      <c r="K3" s="89"/>
      <c r="L3" s="89"/>
      <c r="M3" s="89"/>
      <c r="N3" s="89"/>
      <c r="O3" s="89"/>
      <c r="P3" s="89"/>
      <c r="Q3" s="89"/>
      <c r="R3" s="89"/>
      <c r="S3" s="89"/>
      <c r="T3" s="89"/>
      <c r="U3" s="89"/>
      <c r="V3" s="89"/>
      <c r="W3" s="89"/>
      <c r="X3" s="89"/>
      <c r="Y3" s="89"/>
    </row>
    <row r="4" spans="2:25" ht="9" customHeight="1">
      <c r="B4" s="2"/>
    </row>
    <row r="5" spans="2:25" ht="21.6" customHeight="1">
      <c r="B5" s="90" t="str">
        <f>Navn_anskaffelse</f>
        <v>KJØP AV NULLUTSLIPPSBILER</v>
      </c>
      <c r="C5" s="90"/>
      <c r="D5" s="90"/>
      <c r="E5" s="90"/>
      <c r="F5" s="90"/>
      <c r="G5" s="90"/>
      <c r="H5" s="90"/>
      <c r="I5" s="90"/>
      <c r="J5" s="90"/>
      <c r="K5" s="90"/>
      <c r="L5" s="90"/>
      <c r="M5" s="90"/>
      <c r="N5" s="90"/>
      <c r="O5" s="90"/>
      <c r="P5" s="90"/>
      <c r="Q5" s="90"/>
      <c r="R5" s="90"/>
      <c r="S5" s="90"/>
      <c r="T5" s="90"/>
      <c r="U5" s="90"/>
      <c r="V5" s="90"/>
      <c r="W5" s="90"/>
      <c r="X5" s="90"/>
      <c r="Y5" s="90"/>
    </row>
    <row r="6" spans="2:25" s="36" customFormat="1" ht="13.2">
      <c r="B6" s="34"/>
    </row>
    <row r="7" spans="2:25" s="36" customFormat="1" ht="13.2">
      <c r="B7" s="34"/>
      <c r="D7" s="126" t="s">
        <v>31</v>
      </c>
      <c r="E7" s="126" t="s">
        <v>32</v>
      </c>
      <c r="F7" s="126" t="s">
        <v>33</v>
      </c>
      <c r="G7" s="126" t="s">
        <v>34</v>
      </c>
      <c r="H7" s="126" t="s">
        <v>35</v>
      </c>
      <c r="I7" s="126" t="s">
        <v>36</v>
      </c>
      <c r="J7" s="126" t="s">
        <v>37</v>
      </c>
      <c r="K7" s="126" t="s">
        <v>38</v>
      </c>
      <c r="L7" s="126" t="s">
        <v>39</v>
      </c>
      <c r="M7" s="126" t="s">
        <v>40</v>
      </c>
      <c r="N7" s="126" t="s">
        <v>41</v>
      </c>
      <c r="O7" s="126" t="s">
        <v>42</v>
      </c>
      <c r="P7" s="126" t="s">
        <v>43</v>
      </c>
      <c r="Q7" s="126" t="s">
        <v>44</v>
      </c>
      <c r="R7" s="126" t="s">
        <v>45</v>
      </c>
      <c r="S7" s="126" t="s">
        <v>46</v>
      </c>
      <c r="T7" s="126" t="s">
        <v>47</v>
      </c>
      <c r="U7" s="126" t="s">
        <v>48</v>
      </c>
      <c r="V7" s="126" t="s">
        <v>49</v>
      </c>
      <c r="W7" s="126" t="s">
        <v>50</v>
      </c>
      <c r="X7" s="126" t="s">
        <v>51</v>
      </c>
      <c r="Y7" s="127" t="s">
        <v>89</v>
      </c>
    </row>
    <row r="8" spans="2:25" s="36" customFormat="1" ht="13.2">
      <c r="B8" s="90" t="s">
        <v>129</v>
      </c>
      <c r="C8" s="90" t="s">
        <v>52</v>
      </c>
      <c r="D8" s="126">
        <f>IF(D43&lt;&gt;0,D31-D43,)</f>
        <v>0</v>
      </c>
      <c r="E8" s="126">
        <f t="shared" ref="E8:X8" si="0">IF(E43&lt;&gt;0,E31-E43,)</f>
        <v>0</v>
      </c>
      <c r="F8" s="126">
        <f t="shared" si="0"/>
        <v>0</v>
      </c>
      <c r="G8" s="126">
        <f t="shared" si="0"/>
        <v>0</v>
      </c>
      <c r="H8" s="126">
        <f t="shared" si="0"/>
        <v>0</v>
      </c>
      <c r="I8" s="126">
        <f t="shared" si="0"/>
        <v>0</v>
      </c>
      <c r="J8" s="126">
        <f t="shared" si="0"/>
        <v>0</v>
      </c>
      <c r="K8" s="126">
        <f t="shared" si="0"/>
        <v>0</v>
      </c>
      <c r="L8" s="126">
        <f t="shared" si="0"/>
        <v>0</v>
      </c>
      <c r="M8" s="126">
        <f t="shared" si="0"/>
        <v>0</v>
      </c>
      <c r="N8" s="126">
        <f t="shared" si="0"/>
        <v>0</v>
      </c>
      <c r="O8" s="126">
        <f t="shared" si="0"/>
        <v>0</v>
      </c>
      <c r="P8" s="126">
        <f t="shared" si="0"/>
        <v>0</v>
      </c>
      <c r="Q8" s="126">
        <f t="shared" si="0"/>
        <v>0</v>
      </c>
      <c r="R8" s="126">
        <f t="shared" si="0"/>
        <v>0</v>
      </c>
      <c r="S8" s="126">
        <f t="shared" si="0"/>
        <v>0</v>
      </c>
      <c r="T8" s="126">
        <f t="shared" si="0"/>
        <v>0</v>
      </c>
      <c r="U8" s="126">
        <f t="shared" si="0"/>
        <v>0</v>
      </c>
      <c r="V8" s="126">
        <f t="shared" si="0"/>
        <v>0</v>
      </c>
      <c r="W8" s="126">
        <f t="shared" si="0"/>
        <v>0</v>
      </c>
      <c r="X8" s="126">
        <f t="shared" si="0"/>
        <v>0</v>
      </c>
      <c r="Y8" s="126">
        <f>SUM(D8:X8)</f>
        <v>0</v>
      </c>
    </row>
    <row r="9" spans="2:25" s="36" customFormat="1">
      <c r="B9" s="188" t="s">
        <v>163</v>
      </c>
    </row>
    <row r="10" spans="2:25" s="36" customFormat="1" ht="13.2" hidden="1">
      <c r="B10" s="54" t="str">
        <f>+Motor!C36</f>
        <v>Innkjøpers plan</v>
      </c>
      <c r="C10" s="55" t="s">
        <v>30</v>
      </c>
      <c r="D10" s="56">
        <f>+Motor!E36</f>
        <v>0</v>
      </c>
      <c r="E10" s="56">
        <f>+Motor!F36</f>
        <v>1</v>
      </c>
      <c r="F10" s="56">
        <f>+Motor!G36</f>
        <v>2</v>
      </c>
      <c r="G10" s="56">
        <f>+Motor!H36</f>
        <v>3</v>
      </c>
      <c r="H10" s="56">
        <f>+Motor!I36</f>
        <v>4</v>
      </c>
      <c r="I10" s="56">
        <f>+Motor!J36</f>
        <v>5</v>
      </c>
      <c r="J10" s="56">
        <f>+Motor!K36</f>
        <v>6</v>
      </c>
      <c r="K10" s="56">
        <f>+Motor!L36</f>
        <v>7</v>
      </c>
      <c r="L10" s="56">
        <f>+Motor!M36</f>
        <v>8</v>
      </c>
      <c r="M10" s="56">
        <f>+Motor!N36</f>
        <v>9</v>
      </c>
      <c r="N10" s="56">
        <f>+Motor!O36</f>
        <v>10</v>
      </c>
      <c r="O10" s="56">
        <f>+Motor!P36</f>
        <v>11</v>
      </c>
      <c r="P10" s="56">
        <f>+Motor!Q36</f>
        <v>12</v>
      </c>
      <c r="Q10" s="56">
        <f>+Motor!R36</f>
        <v>13</v>
      </c>
      <c r="R10" s="56">
        <f>+Motor!S36</f>
        <v>14</v>
      </c>
      <c r="S10" s="56">
        <f>+Motor!T36</f>
        <v>15</v>
      </c>
      <c r="T10" s="56">
        <f>+Motor!U36</f>
        <v>16</v>
      </c>
      <c r="U10" s="56">
        <f>+Motor!V36</f>
        <v>17</v>
      </c>
      <c r="V10" s="56">
        <f>+Motor!W36</f>
        <v>18</v>
      </c>
      <c r="W10" s="56">
        <f>+Motor!X36</f>
        <v>19</v>
      </c>
      <c r="X10" s="56">
        <f>+Motor!Y36</f>
        <v>20</v>
      </c>
      <c r="Y10" s="57"/>
    </row>
    <row r="11" spans="2:25" s="36" customFormat="1" ht="13.2" hidden="1">
      <c r="B11" s="58" t="str">
        <f>+Motor!C37</f>
        <v>Investeringskost 1</v>
      </c>
      <c r="C11" s="58" t="str">
        <f>+Motor!D37</f>
        <v>Bil med sommer og vinterdekk</v>
      </c>
      <c r="D11" s="51">
        <f>+Motor!E37</f>
        <v>1250000</v>
      </c>
      <c r="E11" s="51">
        <f>+Motor!F37</f>
        <v>0</v>
      </c>
      <c r="F11" s="51">
        <f>+Motor!G37</f>
        <v>0</v>
      </c>
      <c r="G11" s="51">
        <f>+Motor!H37</f>
        <v>0</v>
      </c>
      <c r="H11" s="51">
        <f>+Motor!I37</f>
        <v>0</v>
      </c>
      <c r="I11" s="51">
        <f>+Motor!J37</f>
        <v>0</v>
      </c>
      <c r="J11" s="51">
        <f>+Motor!K37</f>
        <v>0</v>
      </c>
      <c r="K11" s="51">
        <f>+Motor!L37</f>
        <v>0</v>
      </c>
      <c r="L11" s="51">
        <f>+Motor!M37</f>
        <v>0</v>
      </c>
      <c r="M11" s="51">
        <f>+Motor!N37</f>
        <v>0</v>
      </c>
      <c r="N11" s="51">
        <f>+Motor!O37</f>
        <v>0</v>
      </c>
      <c r="O11" s="51">
        <f>+Motor!P37</f>
        <v>0</v>
      </c>
      <c r="P11" s="51">
        <f>+Motor!Q37</f>
        <v>0</v>
      </c>
      <c r="Q11" s="51">
        <f>+Motor!R37</f>
        <v>0</v>
      </c>
      <c r="R11" s="51">
        <f>+Motor!S37</f>
        <v>0</v>
      </c>
      <c r="S11" s="51">
        <f>+Motor!T37</f>
        <v>0</v>
      </c>
      <c r="T11" s="51">
        <f>+Motor!U37</f>
        <v>0</v>
      </c>
      <c r="U11" s="51">
        <f>+Motor!V37</f>
        <v>0</v>
      </c>
      <c r="V11" s="51">
        <f>+Motor!W37</f>
        <v>0</v>
      </c>
      <c r="W11" s="51">
        <f>+Motor!X37</f>
        <v>0</v>
      </c>
      <c r="X11" s="51">
        <f>+Motor!Y37</f>
        <v>0</v>
      </c>
      <c r="Y11" s="32">
        <f>+Motor!Z37</f>
        <v>0</v>
      </c>
    </row>
    <row r="12" spans="2:25" s="36" customFormat="1" ht="13.2" hidden="1">
      <c r="B12" s="52" t="str">
        <f>+Motor!C38</f>
        <v>Investeringskost 2</v>
      </c>
      <c r="C12" s="52" t="str">
        <f>+Motor!D38</f>
        <v>Ekstrautstyr: automatgir og ryggesensor</v>
      </c>
      <c r="D12" s="33">
        <f>+Motor!E38</f>
        <v>75000</v>
      </c>
      <c r="E12" s="33">
        <f>+Motor!F38</f>
        <v>0</v>
      </c>
      <c r="F12" s="33">
        <f>+Motor!G38</f>
        <v>0</v>
      </c>
      <c r="G12" s="33">
        <f>+Motor!H38</f>
        <v>0</v>
      </c>
      <c r="H12" s="33">
        <f>+Motor!I38</f>
        <v>0</v>
      </c>
      <c r="I12" s="33">
        <f>+Motor!J38</f>
        <v>0</v>
      </c>
      <c r="J12" s="33">
        <f>+Motor!K38</f>
        <v>0</v>
      </c>
      <c r="K12" s="33">
        <f>+Motor!L38</f>
        <v>0</v>
      </c>
      <c r="L12" s="33">
        <f>+Motor!M38</f>
        <v>0</v>
      </c>
      <c r="M12" s="33">
        <f>+Motor!N38</f>
        <v>0</v>
      </c>
      <c r="N12" s="33">
        <f>+Motor!O38</f>
        <v>0</v>
      </c>
      <c r="O12" s="33">
        <f>+Motor!P38</f>
        <v>0</v>
      </c>
      <c r="P12" s="33">
        <f>+Motor!Q38</f>
        <v>0</v>
      </c>
      <c r="Q12" s="33">
        <f>+Motor!R38</f>
        <v>0</v>
      </c>
      <c r="R12" s="33">
        <f>+Motor!S38</f>
        <v>0</v>
      </c>
      <c r="S12" s="33">
        <f>+Motor!T38</f>
        <v>0</v>
      </c>
      <c r="T12" s="33">
        <f>+Motor!U38</f>
        <v>0</v>
      </c>
      <c r="U12" s="33">
        <f>+Motor!V38</f>
        <v>0</v>
      </c>
      <c r="V12" s="33">
        <f>+Motor!W38</f>
        <v>0</v>
      </c>
      <c r="W12" s="33">
        <f>+Motor!X38</f>
        <v>0</v>
      </c>
      <c r="X12" s="33">
        <f>+Motor!Y38</f>
        <v>0</v>
      </c>
      <c r="Y12" s="32">
        <f>+Motor!Z38</f>
        <v>75000</v>
      </c>
    </row>
    <row r="13" spans="2:25" s="36" customFormat="1" ht="13.2" hidden="1">
      <c r="B13" s="52" t="str">
        <f>+Motor!C39</f>
        <v>Investeringskost 3</v>
      </c>
      <c r="C13" s="52" t="str">
        <f>+Motor!D39</f>
        <v>Andre investeringskostnader</v>
      </c>
      <c r="D13" s="33">
        <f>+Motor!E39</f>
        <v>0</v>
      </c>
      <c r="E13" s="33">
        <f>+Motor!F39</f>
        <v>0</v>
      </c>
      <c r="F13" s="33">
        <f>+Motor!G39</f>
        <v>0</v>
      </c>
      <c r="G13" s="33">
        <f>+Motor!H39</f>
        <v>0</v>
      </c>
      <c r="H13" s="33">
        <f>+Motor!I39</f>
        <v>0</v>
      </c>
      <c r="I13" s="33">
        <f>+Motor!J39</f>
        <v>0</v>
      </c>
      <c r="J13" s="33">
        <f>+Motor!K39</f>
        <v>0</v>
      </c>
      <c r="K13" s="33">
        <f>+Motor!L39</f>
        <v>0</v>
      </c>
      <c r="L13" s="33">
        <f>+Motor!M39</f>
        <v>0</v>
      </c>
      <c r="M13" s="33">
        <f>+Motor!N39</f>
        <v>0</v>
      </c>
      <c r="N13" s="33">
        <f>+Motor!O39</f>
        <v>0</v>
      </c>
      <c r="O13" s="33">
        <f>+Motor!P39</f>
        <v>0</v>
      </c>
      <c r="P13" s="33">
        <f>+Motor!Q39</f>
        <v>0</v>
      </c>
      <c r="Q13" s="33">
        <f>+Motor!R39</f>
        <v>0</v>
      </c>
      <c r="R13" s="33">
        <f>+Motor!S39</f>
        <v>0</v>
      </c>
      <c r="S13" s="33">
        <f>+Motor!T39</f>
        <v>0</v>
      </c>
      <c r="T13" s="33">
        <f>+Motor!U39</f>
        <v>0</v>
      </c>
      <c r="U13" s="33">
        <f>+Motor!V39</f>
        <v>0</v>
      </c>
      <c r="V13" s="33">
        <f>+Motor!W39</f>
        <v>0</v>
      </c>
      <c r="W13" s="33">
        <f>+Motor!X39</f>
        <v>0</v>
      </c>
      <c r="X13" s="33">
        <f>+Motor!Y39</f>
        <v>0</v>
      </c>
      <c r="Y13" s="32">
        <f>+Motor!Z39</f>
        <v>0</v>
      </c>
    </row>
    <row r="14" spans="2:25" s="36" customFormat="1" ht="13.2" hidden="1">
      <c r="B14" s="52" t="str">
        <f>+Motor!C40</f>
        <v>Driftsutgift 1 (per år)</v>
      </c>
      <c r="C14" s="52" t="str">
        <f>+Motor!D40</f>
        <v>Forsikring</v>
      </c>
      <c r="D14" s="33">
        <f>+Motor!E40</f>
        <v>0</v>
      </c>
      <c r="E14" s="31">
        <f>+Motor!F40</f>
        <v>40000</v>
      </c>
      <c r="F14" s="31">
        <f>+Motor!G40</f>
        <v>40000</v>
      </c>
      <c r="G14" s="31">
        <f>+Motor!H40</f>
        <v>40000</v>
      </c>
      <c r="H14" s="31">
        <f>+Motor!I40</f>
        <v>40000</v>
      </c>
      <c r="I14" s="31">
        <f>+Motor!J40</f>
        <v>40000</v>
      </c>
      <c r="J14" s="31">
        <f>+Motor!K40</f>
        <v>40000</v>
      </c>
      <c r="K14" s="31">
        <f>+Motor!L40</f>
        <v>0</v>
      </c>
      <c r="L14" s="31">
        <f>+Motor!M40</f>
        <v>0</v>
      </c>
      <c r="M14" s="31">
        <f>+Motor!N40</f>
        <v>0</v>
      </c>
      <c r="N14" s="31">
        <f>+Motor!O40</f>
        <v>0</v>
      </c>
      <c r="O14" s="31">
        <f>+Motor!P40</f>
        <v>0</v>
      </c>
      <c r="P14" s="31">
        <f>+Motor!Q40</f>
        <v>0</v>
      </c>
      <c r="Q14" s="31">
        <f>+Motor!R40</f>
        <v>0</v>
      </c>
      <c r="R14" s="31">
        <f>+Motor!S40</f>
        <v>0</v>
      </c>
      <c r="S14" s="31">
        <f>+Motor!T40</f>
        <v>0</v>
      </c>
      <c r="T14" s="31">
        <f>+Motor!U40</f>
        <v>0</v>
      </c>
      <c r="U14" s="31">
        <f>+Motor!V40</f>
        <v>0</v>
      </c>
      <c r="V14" s="31">
        <f>+Motor!W40</f>
        <v>0</v>
      </c>
      <c r="W14" s="31">
        <f>+Motor!X40</f>
        <v>0</v>
      </c>
      <c r="X14" s="31">
        <f>+Motor!Y40</f>
        <v>0</v>
      </c>
      <c r="Y14" s="32">
        <f>+Motor!Z40</f>
        <v>240000</v>
      </c>
    </row>
    <row r="15" spans="2:25" s="36" customFormat="1" ht="13.2" hidden="1">
      <c r="B15" s="52" t="str">
        <f>+Motor!C41</f>
        <v>Driftsutgift 2 (per år)</v>
      </c>
      <c r="C15" s="52" t="str">
        <f>+Motor!D41</f>
        <v>Reparasjon og vedlikehold</v>
      </c>
      <c r="D15" s="33">
        <f>+Motor!E41</f>
        <v>0</v>
      </c>
      <c r="E15" s="31">
        <f>+Motor!F41</f>
        <v>37500</v>
      </c>
      <c r="F15" s="31">
        <f>+Motor!G41</f>
        <v>37500</v>
      </c>
      <c r="G15" s="31">
        <f>+Motor!H41</f>
        <v>37500</v>
      </c>
      <c r="H15" s="31">
        <f>+Motor!I41</f>
        <v>37500</v>
      </c>
      <c r="I15" s="31">
        <f>+Motor!J41</f>
        <v>37500</v>
      </c>
      <c r="J15" s="31">
        <f>+Motor!K41</f>
        <v>37500</v>
      </c>
      <c r="K15" s="31">
        <f>+Motor!L41</f>
        <v>0</v>
      </c>
      <c r="L15" s="31">
        <f>+Motor!M41</f>
        <v>0</v>
      </c>
      <c r="M15" s="31">
        <f>+Motor!N41</f>
        <v>0</v>
      </c>
      <c r="N15" s="31">
        <f>+Motor!O41</f>
        <v>0</v>
      </c>
      <c r="O15" s="31">
        <f>+Motor!P41</f>
        <v>0</v>
      </c>
      <c r="P15" s="31">
        <f>+Motor!Q41</f>
        <v>0</v>
      </c>
      <c r="Q15" s="31">
        <f>+Motor!R41</f>
        <v>0</v>
      </c>
      <c r="R15" s="31">
        <f>+Motor!S41</f>
        <v>0</v>
      </c>
      <c r="S15" s="31">
        <f>+Motor!T41</f>
        <v>0</v>
      </c>
      <c r="T15" s="31">
        <f>+Motor!U41</f>
        <v>0</v>
      </c>
      <c r="U15" s="31">
        <f>+Motor!V41</f>
        <v>0</v>
      </c>
      <c r="V15" s="31">
        <f>+Motor!W41</f>
        <v>0</v>
      </c>
      <c r="W15" s="31">
        <f>+Motor!X41</f>
        <v>0</v>
      </c>
      <c r="X15" s="31">
        <f>+Motor!Y41</f>
        <v>0</v>
      </c>
      <c r="Y15" s="32">
        <f>+Motor!Z41</f>
        <v>225000</v>
      </c>
    </row>
    <row r="16" spans="2:25" s="36" customFormat="1" ht="13.2" hidden="1">
      <c r="B16" s="52" t="str">
        <f>+Motor!C42</f>
        <v>Driftsutgift 3 (per år)</v>
      </c>
      <c r="C16" s="52" t="str">
        <f>+Motor!D42</f>
        <v>Forbruk (kjørelengde 1 400 mil årlig forbruk fra spekk/test)</v>
      </c>
      <c r="D16" s="33">
        <f>+Motor!E42</f>
        <v>0</v>
      </c>
      <c r="E16" s="31">
        <f>+Motor!F42</f>
        <v>16800</v>
      </c>
      <c r="F16" s="31">
        <f>+Motor!G42</f>
        <v>16800</v>
      </c>
      <c r="G16" s="31">
        <f>+Motor!H42</f>
        <v>16800</v>
      </c>
      <c r="H16" s="31">
        <f>+Motor!I42</f>
        <v>16800</v>
      </c>
      <c r="I16" s="31">
        <f>+Motor!J42</f>
        <v>16800</v>
      </c>
      <c r="J16" s="31">
        <f>+Motor!K42</f>
        <v>16800</v>
      </c>
      <c r="K16" s="31">
        <f>+Motor!L42</f>
        <v>0</v>
      </c>
      <c r="L16" s="31">
        <f>+Motor!M42</f>
        <v>0</v>
      </c>
      <c r="M16" s="31">
        <f>+Motor!N42</f>
        <v>0</v>
      </c>
      <c r="N16" s="31">
        <f>+Motor!O42</f>
        <v>0</v>
      </c>
      <c r="O16" s="31">
        <f>+Motor!P42</f>
        <v>0</v>
      </c>
      <c r="P16" s="31">
        <f>+Motor!Q42</f>
        <v>0</v>
      </c>
      <c r="Q16" s="31">
        <f>+Motor!R42</f>
        <v>0</v>
      </c>
      <c r="R16" s="31">
        <f>+Motor!S42</f>
        <v>0</v>
      </c>
      <c r="S16" s="31">
        <f>+Motor!T42</f>
        <v>0</v>
      </c>
      <c r="T16" s="31">
        <f>+Motor!U42</f>
        <v>0</v>
      </c>
      <c r="U16" s="31">
        <f>+Motor!V42</f>
        <v>0</v>
      </c>
      <c r="V16" s="31">
        <f>+Motor!W42</f>
        <v>0</v>
      </c>
      <c r="W16" s="31">
        <f>+Motor!X42</f>
        <v>0</v>
      </c>
      <c r="X16" s="31">
        <f>+Motor!Y42</f>
        <v>0</v>
      </c>
      <c r="Y16" s="32">
        <f>+Motor!Z42</f>
        <v>100800</v>
      </c>
    </row>
    <row r="17" spans="2:25" s="36" customFormat="1" ht="13.2" hidden="1">
      <c r="B17" s="52" t="str">
        <f>+Motor!C43</f>
        <v>Driftsutgift 4 (per år)</v>
      </c>
      <c r="C17" s="52" t="str">
        <f>+Motor!D43</f>
        <v>Årsavgift</v>
      </c>
      <c r="D17" s="33">
        <f>+Motor!E43</f>
        <v>0</v>
      </c>
      <c r="E17" s="31">
        <f>+Motor!F43</f>
        <v>2275</v>
      </c>
      <c r="F17" s="31">
        <f>+Motor!G43</f>
        <v>2275</v>
      </c>
      <c r="G17" s="31">
        <f>+Motor!H43</f>
        <v>2275</v>
      </c>
      <c r="H17" s="31">
        <f>+Motor!I43</f>
        <v>2275</v>
      </c>
      <c r="I17" s="31">
        <f>+Motor!J43</f>
        <v>2275</v>
      </c>
      <c r="J17" s="31">
        <f>+Motor!K43</f>
        <v>2275</v>
      </c>
      <c r="K17" s="31">
        <f>+Motor!L43</f>
        <v>0</v>
      </c>
      <c r="L17" s="31">
        <f>+Motor!M43</f>
        <v>0</v>
      </c>
      <c r="M17" s="31">
        <f>+Motor!N43</f>
        <v>0</v>
      </c>
      <c r="N17" s="31">
        <f>+Motor!O43</f>
        <v>0</v>
      </c>
      <c r="O17" s="31">
        <f>+Motor!P43</f>
        <v>0</v>
      </c>
      <c r="P17" s="31">
        <f>+Motor!Q43</f>
        <v>0</v>
      </c>
      <c r="Q17" s="31">
        <f>+Motor!R43</f>
        <v>0</v>
      </c>
      <c r="R17" s="31">
        <f>+Motor!S43</f>
        <v>0</v>
      </c>
      <c r="S17" s="31">
        <f>+Motor!T43</f>
        <v>0</v>
      </c>
      <c r="T17" s="31">
        <f>+Motor!U43</f>
        <v>0</v>
      </c>
      <c r="U17" s="31">
        <f>+Motor!V43</f>
        <v>0</v>
      </c>
      <c r="V17" s="31">
        <f>+Motor!W43</f>
        <v>0</v>
      </c>
      <c r="W17" s="31">
        <f>+Motor!X43</f>
        <v>0</v>
      </c>
      <c r="X17" s="31">
        <f>+Motor!Y43</f>
        <v>0</v>
      </c>
      <c r="Y17" s="32">
        <f>+Motor!Z43</f>
        <v>13650</v>
      </c>
    </row>
    <row r="18" spans="2:25" s="36" customFormat="1" ht="13.2" hidden="1">
      <c r="B18" s="52" t="str">
        <f>+Motor!C44</f>
        <v>Driftsutgift 5 (per år)</v>
      </c>
      <c r="C18" s="52" t="str">
        <f>+Motor!D44</f>
        <v>Andre driftskostnader</v>
      </c>
      <c r="D18" s="33">
        <f>+Motor!E44</f>
        <v>0</v>
      </c>
      <c r="E18" s="31">
        <f>+Motor!F44</f>
        <v>0</v>
      </c>
      <c r="F18" s="31">
        <f>+Motor!G44</f>
        <v>0</v>
      </c>
      <c r="G18" s="31">
        <f>+Motor!H44</f>
        <v>0</v>
      </c>
      <c r="H18" s="31">
        <f>+Motor!I44</f>
        <v>0</v>
      </c>
      <c r="I18" s="31">
        <f>+Motor!J44</f>
        <v>0</v>
      </c>
      <c r="J18" s="31">
        <f>+Motor!K44</f>
        <v>0</v>
      </c>
      <c r="K18" s="31">
        <f>+Motor!L44</f>
        <v>0</v>
      </c>
      <c r="L18" s="31">
        <f>+Motor!M44</f>
        <v>0</v>
      </c>
      <c r="M18" s="31">
        <f>+Motor!N44</f>
        <v>0</v>
      </c>
      <c r="N18" s="31">
        <f>+Motor!O44</f>
        <v>0</v>
      </c>
      <c r="O18" s="31">
        <f>+Motor!P44</f>
        <v>0</v>
      </c>
      <c r="P18" s="31">
        <f>+Motor!Q44</f>
        <v>0</v>
      </c>
      <c r="Q18" s="31">
        <f>+Motor!R44</f>
        <v>0</v>
      </c>
      <c r="R18" s="31">
        <f>+Motor!S44</f>
        <v>0</v>
      </c>
      <c r="S18" s="31">
        <f>+Motor!T44</f>
        <v>0</v>
      </c>
      <c r="T18" s="31">
        <f>+Motor!U44</f>
        <v>0</v>
      </c>
      <c r="U18" s="31">
        <f>+Motor!V44</f>
        <v>0</v>
      </c>
      <c r="V18" s="31">
        <f>+Motor!W44</f>
        <v>0</v>
      </c>
      <c r="W18" s="31">
        <f>+Motor!X44</f>
        <v>0</v>
      </c>
      <c r="X18" s="31">
        <f>+Motor!Y44</f>
        <v>0</v>
      </c>
      <c r="Y18" s="32">
        <f>+Motor!Z44</f>
        <v>0</v>
      </c>
    </row>
    <row r="19" spans="2:25" s="36" customFormat="1" ht="13.2" hidden="1">
      <c r="B19" s="59"/>
      <c r="C19" s="59" t="str">
        <f>+Motor!D46</f>
        <v>Sum utgifter i perioden</v>
      </c>
      <c r="D19" s="38">
        <f>+Motor!E46</f>
        <v>1325000</v>
      </c>
      <c r="E19" s="38">
        <f>+Motor!F46</f>
        <v>96575</v>
      </c>
      <c r="F19" s="38">
        <f>+Motor!G46</f>
        <v>96575</v>
      </c>
      <c r="G19" s="38">
        <f>+Motor!H46</f>
        <v>96575</v>
      </c>
      <c r="H19" s="38">
        <f>+Motor!I46</f>
        <v>96575</v>
      </c>
      <c r="I19" s="38">
        <f>+Motor!J46</f>
        <v>96575</v>
      </c>
      <c r="J19" s="38">
        <f>+Motor!K46</f>
        <v>-111758.33333333331</v>
      </c>
      <c r="K19" s="38">
        <f>+Motor!L46</f>
        <v>0</v>
      </c>
      <c r="L19" s="38">
        <f>+Motor!M46</f>
        <v>0</v>
      </c>
      <c r="M19" s="38">
        <f>+Motor!N46</f>
        <v>0</v>
      </c>
      <c r="N19" s="38">
        <f>+Motor!O46</f>
        <v>0</v>
      </c>
      <c r="O19" s="38">
        <f>+Motor!P46</f>
        <v>0</v>
      </c>
      <c r="P19" s="38">
        <f>+Motor!Q46</f>
        <v>0</v>
      </c>
      <c r="Q19" s="38">
        <f>+Motor!R46</f>
        <v>0</v>
      </c>
      <c r="R19" s="38">
        <f>+Motor!S46</f>
        <v>0</v>
      </c>
      <c r="S19" s="38">
        <f>+Motor!T46</f>
        <v>0</v>
      </c>
      <c r="T19" s="38">
        <f>+Motor!U46</f>
        <v>0</v>
      </c>
      <c r="U19" s="38">
        <f>+Motor!V46</f>
        <v>0</v>
      </c>
      <c r="V19" s="38">
        <f>+Motor!W46</f>
        <v>0</v>
      </c>
      <c r="W19" s="38">
        <f>+Motor!X46</f>
        <v>0</v>
      </c>
      <c r="X19" s="38">
        <f>+Motor!Y46</f>
        <v>0</v>
      </c>
      <c r="Y19" s="60">
        <f>+Motor!Z46</f>
        <v>1696116.6666666667</v>
      </c>
    </row>
    <row r="20" spans="2:25" s="36" customFormat="1" ht="13.2">
      <c r="B20" s="34"/>
      <c r="F20" s="228"/>
      <c r="G20" s="228"/>
      <c r="H20" s="228"/>
      <c r="I20" s="228"/>
      <c r="J20" s="228"/>
      <c r="K20" s="228"/>
      <c r="L20" s="228"/>
      <c r="M20" s="228"/>
      <c r="N20" s="228"/>
      <c r="O20" s="228"/>
      <c r="P20" s="228"/>
      <c r="Q20" s="228"/>
      <c r="R20" s="228"/>
      <c r="S20" s="228"/>
      <c r="T20" s="228"/>
      <c r="U20" s="228"/>
      <c r="V20" s="228"/>
      <c r="W20" s="228"/>
      <c r="X20" s="228"/>
    </row>
    <row r="21" spans="2:25" s="36" customFormat="1" ht="15" customHeight="1">
      <c r="B21" s="90" t="s">
        <v>164</v>
      </c>
      <c r="C21" s="90"/>
      <c r="D21" s="127">
        <f>+Motor!E94</f>
        <v>0</v>
      </c>
      <c r="E21" s="127">
        <f>+Motor!F94</f>
        <v>1</v>
      </c>
      <c r="F21" s="127">
        <f>+Motor!G94</f>
        <v>2</v>
      </c>
      <c r="G21" s="127">
        <f>+Motor!H94</f>
        <v>3</v>
      </c>
      <c r="H21" s="127">
        <f>+Motor!I94</f>
        <v>4</v>
      </c>
      <c r="I21" s="127">
        <f>+Motor!J94</f>
        <v>5</v>
      </c>
      <c r="J21" s="127">
        <f>+Motor!K94</f>
        <v>6</v>
      </c>
      <c r="K21" s="127">
        <f>+Motor!L94</f>
        <v>7</v>
      </c>
      <c r="L21" s="127">
        <f>+Motor!M94</f>
        <v>8</v>
      </c>
      <c r="M21" s="127">
        <f>+Motor!N94</f>
        <v>9</v>
      </c>
      <c r="N21" s="127">
        <f>+Motor!O94</f>
        <v>10</v>
      </c>
      <c r="O21" s="127">
        <f>+Motor!P94</f>
        <v>11</v>
      </c>
      <c r="P21" s="127">
        <f>+Motor!Q94</f>
        <v>12</v>
      </c>
      <c r="Q21" s="127">
        <f>+Motor!R94</f>
        <v>13</v>
      </c>
      <c r="R21" s="127">
        <f>+Motor!S94</f>
        <v>14</v>
      </c>
      <c r="S21" s="127">
        <f>+Motor!T94</f>
        <v>15</v>
      </c>
      <c r="T21" s="127">
        <f>+Motor!U94</f>
        <v>16</v>
      </c>
      <c r="U21" s="127">
        <f>+Motor!V94</f>
        <v>17</v>
      </c>
      <c r="V21" s="127">
        <f>+Motor!W94</f>
        <v>18</v>
      </c>
      <c r="W21" s="127">
        <f>+Motor!X94</f>
        <v>19</v>
      </c>
      <c r="X21" s="127">
        <f>+Motor!Y94</f>
        <v>20</v>
      </c>
      <c r="Y21" s="127" t="s">
        <v>89</v>
      </c>
    </row>
    <row r="22" spans="2:25" s="36" customFormat="1" ht="13.2">
      <c r="B22" s="123" t="str">
        <f>+Motor!C95</f>
        <v>Investeringskost 1</v>
      </c>
      <c r="C22" s="123" t="str">
        <f>+Motor!D95</f>
        <v>Bil med sommer og vinterdekk</v>
      </c>
      <c r="D22" s="104">
        <f>IFERROR(VLOOKUP(CONCATENATE($B$9,$B22),Motor!$B$64:$Z$167,D$21+4,FALSE),)</f>
        <v>1024950</v>
      </c>
      <c r="E22" s="104">
        <f>IFERROR(VLOOKUP(CONCATENATE($B$9,$B22),Motor!$B$64:$Z$167,E$21+4,FALSE),)*(1+Prisjustering)^E$21/(1+Justert_prisstigning)^E$21</f>
        <v>0</v>
      </c>
      <c r="F22" s="104">
        <f>IFERROR(VLOOKUP(CONCATENATE($B$9,$B22),Motor!$B$64:$Z$167,F$21+4,FALSE),)*(1+Prisjustering)^F$21/(1+Justert_prisstigning)^F$21</f>
        <v>0</v>
      </c>
      <c r="G22" s="104">
        <f>IFERROR(VLOOKUP(CONCATENATE($B$9,$B22),Motor!$B$64:$Z$167,G$21+4,FALSE),)*(1+Prisjustering)^G$21/(1+Justert_prisstigning)^G$21</f>
        <v>0</v>
      </c>
      <c r="H22" s="104">
        <f>IFERROR(VLOOKUP(CONCATENATE($B$9,$B22),Motor!$B$64:$Z$167,H$21+4,FALSE),)*(1+Prisjustering)^H$21/(1+Justert_prisstigning)^H$21</f>
        <v>0</v>
      </c>
      <c r="I22" s="104">
        <f>IFERROR(VLOOKUP(CONCATENATE($B$9,$B22),Motor!$B$64:$Z$167,I$21+4,FALSE),)*(1+Prisjustering)^I$21/(1+Justert_prisstigning)^I$21</f>
        <v>0</v>
      </c>
      <c r="J22" s="104">
        <f>IFERROR(VLOOKUP(CONCATENATE($B$9,$B22),Motor!$B$64:$Z$167,J$21+4,FALSE),)*(1+Prisjustering)^J$21/(1+Justert_prisstigning)^J$21</f>
        <v>0</v>
      </c>
      <c r="K22" s="104">
        <f>IFERROR(VLOOKUP(CONCATENATE($B$9,$B22),Motor!$B$64:$Z$167,K$21+4,FALSE),)*(1+Prisjustering)^K$21/(1+Justert_prisstigning)^K$21</f>
        <v>0</v>
      </c>
      <c r="L22" s="104">
        <f>IFERROR(VLOOKUP(CONCATENATE($B$9,$B22),Motor!$B$64:$Z$167,L$21+4,FALSE),)*(1+Prisjustering)^L$21/(1+Justert_prisstigning)^L$21</f>
        <v>0</v>
      </c>
      <c r="M22" s="104">
        <f>IFERROR(VLOOKUP(CONCATENATE($B$9,$B22),Motor!$B$64:$Z$167,M$21+4,FALSE),)*(1+Prisjustering)^M$21/(1+Justert_prisstigning)^M$21</f>
        <v>0</v>
      </c>
      <c r="N22" s="104">
        <f>IFERROR(VLOOKUP(CONCATENATE($B$9,$B22),Motor!$B$64:$Z$167,N$21+4,FALSE),)*(1+Prisjustering)^N$21/(1+Justert_prisstigning)^N$21</f>
        <v>0</v>
      </c>
      <c r="O22" s="104">
        <f>IFERROR(VLOOKUP(CONCATENATE($B$9,$B22),Motor!$B$64:$Z$167,O$21+4,FALSE),)*(1+Prisjustering)^O$21/(1+Justert_prisstigning)^O$21</f>
        <v>0</v>
      </c>
      <c r="P22" s="104">
        <f>IFERROR(VLOOKUP(CONCATENATE($B$9,$B22),Motor!$B$64:$Z$167,P$21+4,FALSE),)*(1+Prisjustering)^P$21/(1+Justert_prisstigning)^P$21</f>
        <v>0</v>
      </c>
      <c r="Q22" s="104">
        <f>IFERROR(VLOOKUP(CONCATENATE($B$9,$B22),Motor!$B$64:$Z$167,Q$21+4,FALSE),)*(1+Prisjustering)^Q$21/(1+Justert_prisstigning)^Q$21</f>
        <v>0</v>
      </c>
      <c r="R22" s="104">
        <f>IFERROR(VLOOKUP(CONCATENATE($B$9,$B22),Motor!$B$64:$Z$167,R$21+4,FALSE),)*(1+Prisjustering)^R$21/(1+Justert_prisstigning)^R$21</f>
        <v>0</v>
      </c>
      <c r="S22" s="104">
        <f>IFERROR(VLOOKUP(CONCATENATE($B$9,$B22),Motor!$B$64:$Z$167,S$21+4,FALSE),)*(1+Prisjustering)^S$21/(1+Justert_prisstigning)^S$21</f>
        <v>0</v>
      </c>
      <c r="T22" s="104">
        <f>IFERROR(VLOOKUP(CONCATENATE($B$9,$B22),Motor!$B$64:$Z$167,T$21+4,FALSE),)*(1+Prisjustering)^T$21/(1+Justert_prisstigning)^T$21</f>
        <v>0</v>
      </c>
      <c r="U22" s="104">
        <f>IFERROR(VLOOKUP(CONCATENATE($B$9,$B22),Motor!$B$64:$Z$167,U$21+4,FALSE),)*(1+Prisjustering)^U$21/(1+Justert_prisstigning)^U$21</f>
        <v>0</v>
      </c>
      <c r="V22" s="104">
        <f>IFERROR(VLOOKUP(CONCATENATE($B$9,$B22),Motor!$B$64:$Z$167,V$21+4,FALSE),)*(1+Prisjustering)^V$21/(1+Justert_prisstigning)^V$21</f>
        <v>0</v>
      </c>
      <c r="W22" s="104">
        <f>IFERROR(VLOOKUP(CONCATENATE($B$9,$B22),Motor!$B$64:$Z$167,W$21+4,FALSE),)*(1+Prisjustering)^W$21/(1+Justert_prisstigning)^W$21</f>
        <v>0</v>
      </c>
      <c r="X22" s="104">
        <f>IFERROR(VLOOKUP(CONCATENATE($B$9,$B22),Motor!$B$64:$Z$167,X$21+4,FALSE),)*(1+Prisjustering)^X$21/(1+Justert_prisstigning)^X$21</f>
        <v>0</v>
      </c>
      <c r="Y22" s="104">
        <f>SUM(D22:X22)</f>
        <v>1024950</v>
      </c>
    </row>
    <row r="23" spans="2:25" s="36" customFormat="1" ht="13.2">
      <c r="B23" s="124" t="str">
        <f>+Motor!C96</f>
        <v>Investeringskost 2</v>
      </c>
      <c r="C23" s="124" t="str">
        <f>+Motor!D96</f>
        <v>Ekstrautstyr: automatgir og ryggesensor</v>
      </c>
      <c r="D23" s="104">
        <f>IFERROR(VLOOKUP(CONCATENATE($B$9,$B23),Motor!$B$64:$Z$167,D$21+4,FALSE),)</f>
        <v>0</v>
      </c>
      <c r="E23" s="104">
        <f>IFERROR(VLOOKUP(CONCATENATE($B$9,$B23),Motor!$B$64:$Z$167,E$21+4,FALSE),)*(1+Prisjustering)^E$21/(1+Justert_prisstigning)^E$21</f>
        <v>0</v>
      </c>
      <c r="F23" s="104">
        <f>IFERROR(VLOOKUP(CONCATENATE($B$9,$B23),Motor!$B$64:$Z$167,F$21+4,FALSE),)*(1+Prisjustering)^F$21/(1+Justert_prisstigning)^F$21</f>
        <v>0</v>
      </c>
      <c r="G23" s="104">
        <f>IFERROR(VLOOKUP(CONCATENATE($B$9,$B23),Motor!$B$64:$Z$167,G$21+4,FALSE),)*(1+Prisjustering)^G$21/(1+Justert_prisstigning)^G$21</f>
        <v>0</v>
      </c>
      <c r="H23" s="104">
        <f>IFERROR(VLOOKUP(CONCATENATE($B$9,$B23),Motor!$B$64:$Z$167,H$21+4,FALSE),)*(1+Prisjustering)^H$21/(1+Justert_prisstigning)^H$21</f>
        <v>0</v>
      </c>
      <c r="I23" s="104">
        <f>IFERROR(VLOOKUP(CONCATENATE($B$9,$B23),Motor!$B$64:$Z$167,I$21+4,FALSE),)*(1+Prisjustering)^I$21/(1+Justert_prisstigning)^I$21</f>
        <v>0</v>
      </c>
      <c r="J23" s="104">
        <f>IFERROR(VLOOKUP(CONCATENATE($B$9,$B23),Motor!$B$64:$Z$167,J$21+4,FALSE),)*(1+Prisjustering)^J$21/(1+Justert_prisstigning)^J$21</f>
        <v>0</v>
      </c>
      <c r="K23" s="104">
        <f>IFERROR(VLOOKUP(CONCATENATE($B$9,$B23),Motor!$B$64:$Z$167,K$21+4,FALSE),)*(1+Prisjustering)^K$21/(1+Justert_prisstigning)^K$21</f>
        <v>0</v>
      </c>
      <c r="L23" s="104">
        <f>IFERROR(VLOOKUP(CONCATENATE($B$9,$B23),Motor!$B$64:$Z$167,L$21+4,FALSE),)*(1+Prisjustering)^L$21/(1+Justert_prisstigning)^L$21</f>
        <v>0</v>
      </c>
      <c r="M23" s="104">
        <f>IFERROR(VLOOKUP(CONCATENATE($B$9,$B23),Motor!$B$64:$Z$167,M$21+4,FALSE),)*(1+Prisjustering)^M$21/(1+Justert_prisstigning)^M$21</f>
        <v>0</v>
      </c>
      <c r="N23" s="104">
        <f>IFERROR(VLOOKUP(CONCATENATE($B$9,$B23),Motor!$B$64:$Z$167,N$21+4,FALSE),)*(1+Prisjustering)^N$21/(1+Justert_prisstigning)^N$21</f>
        <v>0</v>
      </c>
      <c r="O23" s="104">
        <f>IFERROR(VLOOKUP(CONCATENATE($B$9,$B23),Motor!$B$64:$Z$167,O$21+4,FALSE),)*(1+Prisjustering)^O$21/(1+Justert_prisstigning)^O$21</f>
        <v>0</v>
      </c>
      <c r="P23" s="104">
        <f>IFERROR(VLOOKUP(CONCATENATE($B$9,$B23),Motor!$B$64:$Z$167,P$21+4,FALSE),)*(1+Prisjustering)^P$21/(1+Justert_prisstigning)^P$21</f>
        <v>0</v>
      </c>
      <c r="Q23" s="104">
        <f>IFERROR(VLOOKUP(CONCATENATE($B$9,$B23),Motor!$B$64:$Z$167,Q$21+4,FALSE),)*(1+Prisjustering)^Q$21/(1+Justert_prisstigning)^Q$21</f>
        <v>0</v>
      </c>
      <c r="R23" s="104">
        <f>IFERROR(VLOOKUP(CONCATENATE($B$9,$B23),Motor!$B$64:$Z$167,R$21+4,FALSE),)*(1+Prisjustering)^R$21/(1+Justert_prisstigning)^R$21</f>
        <v>0</v>
      </c>
      <c r="S23" s="104">
        <f>IFERROR(VLOOKUP(CONCATENATE($B$9,$B23),Motor!$B$64:$Z$167,S$21+4,FALSE),)*(1+Prisjustering)^S$21/(1+Justert_prisstigning)^S$21</f>
        <v>0</v>
      </c>
      <c r="T23" s="104">
        <f>IFERROR(VLOOKUP(CONCATENATE($B$9,$B23),Motor!$B$64:$Z$167,T$21+4,FALSE),)*(1+Prisjustering)^T$21/(1+Justert_prisstigning)^T$21</f>
        <v>0</v>
      </c>
      <c r="U23" s="104">
        <f>IFERROR(VLOOKUP(CONCATENATE($B$9,$B23),Motor!$B$64:$Z$167,U$21+4,FALSE),)*(1+Prisjustering)^U$21/(1+Justert_prisstigning)^U$21</f>
        <v>0</v>
      </c>
      <c r="V23" s="104">
        <f>IFERROR(VLOOKUP(CONCATENATE($B$9,$B23),Motor!$B$64:$Z$167,V$21+4,FALSE),)*(1+Prisjustering)^V$21/(1+Justert_prisstigning)^V$21</f>
        <v>0</v>
      </c>
      <c r="W23" s="104">
        <f>IFERROR(VLOOKUP(CONCATENATE($B$9,$B23),Motor!$B$64:$Z$167,W$21+4,FALSE),)*(1+Prisjustering)^W$21/(1+Justert_prisstigning)^W$21</f>
        <v>0</v>
      </c>
      <c r="X23" s="104">
        <f>IFERROR(VLOOKUP(CONCATENATE($B$9,$B23),Motor!$B$64:$Z$167,X$21+4,FALSE),)*(1+Prisjustering)^X$21/(1+Justert_prisstigning)^X$21</f>
        <v>0</v>
      </c>
      <c r="Y23" s="104">
        <f t="shared" ref="Y23:Y31" si="1">SUM(D23:X23)</f>
        <v>0</v>
      </c>
    </row>
    <row r="24" spans="2:25" s="36" customFormat="1" ht="13.2">
      <c r="B24" s="124" t="str">
        <f>+Motor!C97</f>
        <v>Investeringskost 3</v>
      </c>
      <c r="C24" s="124" t="str">
        <f>+Motor!D97</f>
        <v>Andre investeringskostnader</v>
      </c>
      <c r="D24" s="104">
        <f>IFERROR(VLOOKUP(CONCATENATE($B$9,$B24),Motor!$B$64:$Z$167,D$21+4,FALSE),)</f>
        <v>188960.35345481391</v>
      </c>
      <c r="E24" s="104">
        <f>IFERROR(VLOOKUP(CONCATENATE($B$9,$B24),Motor!$B$64:$Z$167,E$21+4,FALSE),)*(1+Prisjustering)^E$21/(1+Justert_prisstigning)^E$21</f>
        <v>0</v>
      </c>
      <c r="F24" s="104">
        <f>IFERROR(VLOOKUP(CONCATENATE($B$9,$B24),Motor!$B$64:$Z$167,F$21+4,FALSE),)*(1+Prisjustering)^F$21/(1+Justert_prisstigning)^F$21</f>
        <v>0</v>
      </c>
      <c r="G24" s="104">
        <f>IFERROR(VLOOKUP(CONCATENATE($B$9,$B24),Motor!$B$64:$Z$167,G$21+4,FALSE),)*(1+Prisjustering)^G$21/(1+Justert_prisstigning)^G$21</f>
        <v>0</v>
      </c>
      <c r="H24" s="104">
        <f>IFERROR(VLOOKUP(CONCATENATE($B$9,$B24),Motor!$B$64:$Z$167,H$21+4,FALSE),)*(1+Prisjustering)^H$21/(1+Justert_prisstigning)^H$21</f>
        <v>0</v>
      </c>
      <c r="I24" s="104">
        <f>IFERROR(VLOOKUP(CONCATENATE($B$9,$B24),Motor!$B$64:$Z$167,I$21+4,FALSE),)*(1+Prisjustering)^I$21/(1+Justert_prisstigning)^I$21</f>
        <v>0</v>
      </c>
      <c r="J24" s="104">
        <f>IFERROR(VLOOKUP(CONCATENATE($B$9,$B24),Motor!$B$64:$Z$167,J$21+4,FALSE),)*(1+Prisjustering)^J$21/(1+Justert_prisstigning)^J$21</f>
        <v>0</v>
      </c>
      <c r="K24" s="104">
        <f>IFERROR(VLOOKUP(CONCATENATE($B$9,$B24),Motor!$B$64:$Z$167,K$21+4,FALSE),)*(1+Prisjustering)^K$21/(1+Justert_prisstigning)^K$21</f>
        <v>0</v>
      </c>
      <c r="L24" s="104">
        <f>IFERROR(VLOOKUP(CONCATENATE($B$9,$B24),Motor!$B$64:$Z$167,L$21+4,FALSE),)*(1+Prisjustering)^L$21/(1+Justert_prisstigning)^L$21</f>
        <v>0</v>
      </c>
      <c r="M24" s="104">
        <f>IFERROR(VLOOKUP(CONCATENATE($B$9,$B24),Motor!$B$64:$Z$167,M$21+4,FALSE),)*(1+Prisjustering)^M$21/(1+Justert_prisstigning)^M$21</f>
        <v>0</v>
      </c>
      <c r="N24" s="104">
        <f>IFERROR(VLOOKUP(CONCATENATE($B$9,$B24),Motor!$B$64:$Z$167,N$21+4,FALSE),)*(1+Prisjustering)^N$21/(1+Justert_prisstigning)^N$21</f>
        <v>0</v>
      </c>
      <c r="O24" s="104">
        <f>IFERROR(VLOOKUP(CONCATENATE($B$9,$B24),Motor!$B$64:$Z$167,O$21+4,FALSE),)*(1+Prisjustering)^O$21/(1+Justert_prisstigning)^O$21</f>
        <v>0</v>
      </c>
      <c r="P24" s="104">
        <f>IFERROR(VLOOKUP(CONCATENATE($B$9,$B24),Motor!$B$64:$Z$167,P$21+4,FALSE),)*(1+Prisjustering)^P$21/(1+Justert_prisstigning)^P$21</f>
        <v>0</v>
      </c>
      <c r="Q24" s="104">
        <f>IFERROR(VLOOKUP(CONCATENATE($B$9,$B24),Motor!$B$64:$Z$167,Q$21+4,FALSE),)*(1+Prisjustering)^Q$21/(1+Justert_prisstigning)^Q$21</f>
        <v>0</v>
      </c>
      <c r="R24" s="104">
        <f>IFERROR(VLOOKUP(CONCATENATE($B$9,$B24),Motor!$B$64:$Z$167,R$21+4,FALSE),)*(1+Prisjustering)^R$21/(1+Justert_prisstigning)^R$21</f>
        <v>0</v>
      </c>
      <c r="S24" s="104">
        <f>IFERROR(VLOOKUP(CONCATENATE($B$9,$B24),Motor!$B$64:$Z$167,S$21+4,FALSE),)*(1+Prisjustering)^S$21/(1+Justert_prisstigning)^S$21</f>
        <v>0</v>
      </c>
      <c r="T24" s="104">
        <f>IFERROR(VLOOKUP(CONCATENATE($B$9,$B24),Motor!$B$64:$Z$167,T$21+4,FALSE),)*(1+Prisjustering)^T$21/(1+Justert_prisstigning)^T$21</f>
        <v>0</v>
      </c>
      <c r="U24" s="104">
        <f>IFERROR(VLOOKUP(CONCATENATE($B$9,$B24),Motor!$B$64:$Z$167,U$21+4,FALSE),)*(1+Prisjustering)^U$21/(1+Justert_prisstigning)^U$21</f>
        <v>0</v>
      </c>
      <c r="V24" s="104">
        <f>IFERROR(VLOOKUP(CONCATENATE($B$9,$B24),Motor!$B$64:$Z$167,V$21+4,FALSE),)*(1+Prisjustering)^V$21/(1+Justert_prisstigning)^V$21</f>
        <v>0</v>
      </c>
      <c r="W24" s="104">
        <f>IFERROR(VLOOKUP(CONCATENATE($B$9,$B24),Motor!$B$64:$Z$167,W$21+4,FALSE),)*(1+Prisjustering)^W$21/(1+Justert_prisstigning)^W$21</f>
        <v>0</v>
      </c>
      <c r="X24" s="104">
        <f>IFERROR(VLOOKUP(CONCATENATE($B$9,$B24),Motor!$B$64:$Z$167,X$21+4,FALSE),)*(1+Prisjustering)^X$21/(1+Justert_prisstigning)^X$21</f>
        <v>0</v>
      </c>
      <c r="Y24" s="104">
        <f t="shared" si="1"/>
        <v>188960.35345481391</v>
      </c>
    </row>
    <row r="25" spans="2:25" s="36" customFormat="1" ht="13.2">
      <c r="B25" s="124" t="str">
        <f>+Motor!C98</f>
        <v>Driftsutgift 1 (per år)</v>
      </c>
      <c r="C25" s="124" t="str">
        <f>+Motor!D98</f>
        <v>Forsikring</v>
      </c>
      <c r="D25" s="104">
        <f>IFERROR(VLOOKUP(CONCATENATE($B$9,$B25),Motor!$B$64:$Z$167,D$21+4,FALSE),)</f>
        <v>0</v>
      </c>
      <c r="E25" s="104">
        <f>IFERROR(VLOOKUP(CONCATENATE($B$9,$B25),Motor!$B$64:$Z$167,E$21+4,FALSE),)*(1+Prisjustering)^E$21/(1+Justert_prisstigning)^E$21</f>
        <v>0</v>
      </c>
      <c r="F25" s="104">
        <f>IFERROR(VLOOKUP(CONCATENATE($B$9,$B25),Motor!$B$64:$Z$167,F$21+4,FALSE),)*(1+Prisjustering)^F$21/(1+Justert_prisstigning)^F$21</f>
        <v>0</v>
      </c>
      <c r="G25" s="104">
        <f>IFERROR(VLOOKUP(CONCATENATE($B$9,$B25),Motor!$B$64:$Z$167,G$21+4,FALSE),)*(1+Prisjustering)^G$21/(1+Justert_prisstigning)^G$21</f>
        <v>0</v>
      </c>
      <c r="H25" s="104">
        <f>IFERROR(VLOOKUP(CONCATENATE($B$9,$B25),Motor!$B$64:$Z$167,H$21+4,FALSE),)*(1+Prisjustering)^H$21/(1+Justert_prisstigning)^H$21</f>
        <v>0</v>
      </c>
      <c r="I25" s="104">
        <f>IFERROR(VLOOKUP(CONCATENATE($B$9,$B25),Motor!$B$64:$Z$167,I$21+4,FALSE),)*(1+Prisjustering)^I$21/(1+Justert_prisstigning)^I$21</f>
        <v>0</v>
      </c>
      <c r="J25" s="104">
        <f>IFERROR(VLOOKUP(CONCATENATE($B$9,$B25),Motor!$B$64:$Z$167,J$21+4,FALSE),)*(1+Prisjustering)^J$21/(1+Justert_prisstigning)^J$21</f>
        <v>0</v>
      </c>
      <c r="K25" s="104">
        <f>IFERROR(VLOOKUP(CONCATENATE($B$9,$B25),Motor!$B$64:$Z$167,K$21+4,FALSE),)*(1+Prisjustering)^K$21/(1+Justert_prisstigning)^K$21</f>
        <v>0</v>
      </c>
      <c r="L25" s="104">
        <f>IFERROR(VLOOKUP(CONCATENATE($B$9,$B25),Motor!$B$64:$Z$167,L$21+4,FALSE),)*(1+Prisjustering)^L$21/(1+Justert_prisstigning)^L$21</f>
        <v>0</v>
      </c>
      <c r="M25" s="104">
        <f>IFERROR(VLOOKUP(CONCATENATE($B$9,$B25),Motor!$B$64:$Z$167,M$21+4,FALSE),)*(1+Prisjustering)^M$21/(1+Justert_prisstigning)^M$21</f>
        <v>0</v>
      </c>
      <c r="N25" s="104">
        <f>IFERROR(VLOOKUP(CONCATENATE($B$9,$B25),Motor!$B$64:$Z$167,N$21+4,FALSE),)*(1+Prisjustering)^N$21/(1+Justert_prisstigning)^N$21</f>
        <v>0</v>
      </c>
      <c r="O25" s="104">
        <f>IFERROR(VLOOKUP(CONCATENATE($B$9,$B25),Motor!$B$64:$Z$167,O$21+4,FALSE),)*(1+Prisjustering)^O$21/(1+Justert_prisstigning)^O$21</f>
        <v>0</v>
      </c>
      <c r="P25" s="104">
        <f>IFERROR(VLOOKUP(CONCATENATE($B$9,$B25),Motor!$B$64:$Z$167,P$21+4,FALSE),)*(1+Prisjustering)^P$21/(1+Justert_prisstigning)^P$21</f>
        <v>0</v>
      </c>
      <c r="Q25" s="104">
        <f>IFERROR(VLOOKUP(CONCATENATE($B$9,$B25),Motor!$B$64:$Z$167,Q$21+4,FALSE),)*(1+Prisjustering)^Q$21/(1+Justert_prisstigning)^Q$21</f>
        <v>0</v>
      </c>
      <c r="R25" s="104">
        <f>IFERROR(VLOOKUP(CONCATENATE($B$9,$B25),Motor!$B$64:$Z$167,R$21+4,FALSE),)*(1+Prisjustering)^R$21/(1+Justert_prisstigning)^R$21</f>
        <v>0</v>
      </c>
      <c r="S25" s="104">
        <f>IFERROR(VLOOKUP(CONCATENATE($B$9,$B25),Motor!$B$64:$Z$167,S$21+4,FALSE),)*(1+Prisjustering)^S$21/(1+Justert_prisstigning)^S$21</f>
        <v>0</v>
      </c>
      <c r="T25" s="104">
        <f>IFERROR(VLOOKUP(CONCATENATE($B$9,$B25),Motor!$B$64:$Z$167,T$21+4,FALSE),)*(1+Prisjustering)^T$21/(1+Justert_prisstigning)^T$21</f>
        <v>0</v>
      </c>
      <c r="U25" s="104">
        <f>IFERROR(VLOOKUP(CONCATENATE($B$9,$B25),Motor!$B$64:$Z$167,U$21+4,FALSE),)*(1+Prisjustering)^U$21/(1+Justert_prisstigning)^U$21</f>
        <v>0</v>
      </c>
      <c r="V25" s="104">
        <f>IFERROR(VLOOKUP(CONCATENATE($B$9,$B25),Motor!$B$64:$Z$167,V$21+4,FALSE),)*(1+Prisjustering)^V$21/(1+Justert_prisstigning)^V$21</f>
        <v>0</v>
      </c>
      <c r="W25" s="104">
        <f>IFERROR(VLOOKUP(CONCATENATE($B$9,$B25),Motor!$B$64:$Z$167,W$21+4,FALSE),)*(1+Prisjustering)^W$21/(1+Justert_prisstigning)^W$21</f>
        <v>0</v>
      </c>
      <c r="X25" s="104">
        <f>IFERROR(VLOOKUP(CONCATENATE($B$9,$B25),Motor!$B$64:$Z$167,X$21+4,FALSE),)*(1+Prisjustering)^X$21/(1+Justert_prisstigning)^X$21</f>
        <v>0</v>
      </c>
      <c r="Y25" s="104">
        <f t="shared" si="1"/>
        <v>0</v>
      </c>
    </row>
    <row r="26" spans="2:25" s="36" customFormat="1" ht="13.2">
      <c r="B26" s="124" t="str">
        <f>+Motor!C99</f>
        <v>Driftsutgift 2 (per år)</v>
      </c>
      <c r="C26" s="124" t="str">
        <f>+Motor!D99</f>
        <v>Reparasjon og vedlikehold</v>
      </c>
      <c r="D26" s="104">
        <f>IFERROR(VLOOKUP(CONCATENATE($B$9,$B26),Motor!$B$64:$Z$167,D$21+4,FALSE),)</f>
        <v>0</v>
      </c>
      <c r="E26" s="104">
        <f>IFERROR(VLOOKUP(CONCATENATE($B$9,$B26),Motor!$B$64:$Z$167,E$21+4,FALSE),)*(1+Prisjustering)^E$21/(1+Justert_prisstigning)^E$21</f>
        <v>0</v>
      </c>
      <c r="F26" s="104">
        <f>IFERROR(VLOOKUP(CONCATENATE($B$9,$B26),Motor!$B$64:$Z$167,F$21+4,FALSE),)*(1+Prisjustering)^F$21/(1+Justert_prisstigning)^F$21</f>
        <v>0</v>
      </c>
      <c r="G26" s="104">
        <f>IFERROR(VLOOKUP(CONCATENATE($B$9,$B26),Motor!$B$64:$Z$167,G$21+4,FALSE),)*(1+Prisjustering)^G$21/(1+Justert_prisstigning)^G$21</f>
        <v>0</v>
      </c>
      <c r="H26" s="104">
        <f>IFERROR(VLOOKUP(CONCATENATE($B$9,$B26),Motor!$B$64:$Z$167,H$21+4,FALSE),)*(1+Prisjustering)^H$21/(1+Justert_prisstigning)^H$21</f>
        <v>0</v>
      </c>
      <c r="I26" s="104">
        <f>IFERROR(VLOOKUP(CONCATENATE($B$9,$B26),Motor!$B$64:$Z$167,I$21+4,FALSE),)*(1+Prisjustering)^I$21/(1+Justert_prisstigning)^I$21</f>
        <v>0</v>
      </c>
      <c r="J26" s="104">
        <f>IFERROR(VLOOKUP(CONCATENATE($B$9,$B26),Motor!$B$64:$Z$167,J$21+4,FALSE),)*(1+Prisjustering)^J$21/(1+Justert_prisstigning)^J$21</f>
        <v>0</v>
      </c>
      <c r="K26" s="104">
        <f>IFERROR(VLOOKUP(CONCATENATE($B$9,$B26),Motor!$B$64:$Z$167,K$21+4,FALSE),)*(1+Prisjustering)^K$21/(1+Justert_prisstigning)^K$21</f>
        <v>0</v>
      </c>
      <c r="L26" s="104">
        <f>IFERROR(VLOOKUP(CONCATENATE($B$9,$B26),Motor!$B$64:$Z$167,L$21+4,FALSE),)*(1+Prisjustering)^L$21/(1+Justert_prisstigning)^L$21</f>
        <v>0</v>
      </c>
      <c r="M26" s="104">
        <f>IFERROR(VLOOKUP(CONCATENATE($B$9,$B26),Motor!$B$64:$Z$167,M$21+4,FALSE),)*(1+Prisjustering)^M$21/(1+Justert_prisstigning)^M$21</f>
        <v>0</v>
      </c>
      <c r="N26" s="104">
        <f>IFERROR(VLOOKUP(CONCATENATE($B$9,$B26),Motor!$B$64:$Z$167,N$21+4,FALSE),)*(1+Prisjustering)^N$21/(1+Justert_prisstigning)^N$21</f>
        <v>0</v>
      </c>
      <c r="O26" s="104">
        <f>IFERROR(VLOOKUP(CONCATENATE($B$9,$B26),Motor!$B$64:$Z$167,O$21+4,FALSE),)*(1+Prisjustering)^O$21/(1+Justert_prisstigning)^O$21</f>
        <v>0</v>
      </c>
      <c r="P26" s="104">
        <f>IFERROR(VLOOKUP(CONCATENATE($B$9,$B26),Motor!$B$64:$Z$167,P$21+4,FALSE),)*(1+Prisjustering)^P$21/(1+Justert_prisstigning)^P$21</f>
        <v>0</v>
      </c>
      <c r="Q26" s="104">
        <f>IFERROR(VLOOKUP(CONCATENATE($B$9,$B26),Motor!$B$64:$Z$167,Q$21+4,FALSE),)*(1+Prisjustering)^Q$21/(1+Justert_prisstigning)^Q$21</f>
        <v>0</v>
      </c>
      <c r="R26" s="104">
        <f>IFERROR(VLOOKUP(CONCATENATE($B$9,$B26),Motor!$B$64:$Z$167,R$21+4,FALSE),)*(1+Prisjustering)^R$21/(1+Justert_prisstigning)^R$21</f>
        <v>0</v>
      </c>
      <c r="S26" s="104">
        <f>IFERROR(VLOOKUP(CONCATENATE($B$9,$B26),Motor!$B$64:$Z$167,S$21+4,FALSE),)*(1+Prisjustering)^S$21/(1+Justert_prisstigning)^S$21</f>
        <v>0</v>
      </c>
      <c r="T26" s="104">
        <f>IFERROR(VLOOKUP(CONCATENATE($B$9,$B26),Motor!$B$64:$Z$167,T$21+4,FALSE),)*(1+Prisjustering)^T$21/(1+Justert_prisstigning)^T$21</f>
        <v>0</v>
      </c>
      <c r="U26" s="104">
        <f>IFERROR(VLOOKUP(CONCATENATE($B$9,$B26),Motor!$B$64:$Z$167,U$21+4,FALSE),)*(1+Prisjustering)^U$21/(1+Justert_prisstigning)^U$21</f>
        <v>0</v>
      </c>
      <c r="V26" s="104">
        <f>IFERROR(VLOOKUP(CONCATENATE($B$9,$B26),Motor!$B$64:$Z$167,V$21+4,FALSE),)*(1+Prisjustering)^V$21/(1+Justert_prisstigning)^V$21</f>
        <v>0</v>
      </c>
      <c r="W26" s="104">
        <f>IFERROR(VLOOKUP(CONCATENATE($B$9,$B26),Motor!$B$64:$Z$167,W$21+4,FALSE),)*(1+Prisjustering)^W$21/(1+Justert_prisstigning)^W$21</f>
        <v>0</v>
      </c>
      <c r="X26" s="104">
        <f>IFERROR(VLOOKUP(CONCATENATE($B$9,$B26),Motor!$B$64:$Z$167,X$21+4,FALSE),)*(1+Prisjustering)^X$21/(1+Justert_prisstigning)^X$21</f>
        <v>0</v>
      </c>
      <c r="Y26" s="104">
        <f t="shared" si="1"/>
        <v>0</v>
      </c>
    </row>
    <row r="27" spans="2:25" s="36" customFormat="1" ht="13.2">
      <c r="B27" s="124" t="str">
        <f>+Motor!C100</f>
        <v>Driftsutgift 3 (per år)</v>
      </c>
      <c r="C27" s="124" t="str">
        <f>+Motor!D100</f>
        <v>Forbruk (kjørelengde 1 400 mil årlig forbruk fra spekk/test)</v>
      </c>
      <c r="D27" s="104">
        <f>IFERROR(VLOOKUP(CONCATENATE($B$9,$B27),Motor!$B$64:$Z$167,D$21+4,FALSE),)</f>
        <v>0</v>
      </c>
      <c r="E27" s="104">
        <f>IFERROR(VLOOKUP(CONCATENATE($B$9,$B27),Motor!$B$64:$Z$167,E$21+4,FALSE),)*(1+Prisjustering)^E$21/(1+Justert_prisstigning)^E$21</f>
        <v>10332</v>
      </c>
      <c r="F27" s="104">
        <f>IFERROR(VLOOKUP(CONCATENATE($B$9,$B27),Motor!$B$64:$Z$167,F$21+4,FALSE),)*(1+Prisjustering)^F$21/(1+Justert_prisstigning)^F$21</f>
        <v>10590.3</v>
      </c>
      <c r="G27" s="104">
        <f>IFERROR(VLOOKUP(CONCATENATE($B$9,$B27),Motor!$B$64:$Z$167,G$21+4,FALSE),)*(1+Prisjustering)^G$21/(1+Justert_prisstigning)^G$21</f>
        <v>10855.057499999999</v>
      </c>
      <c r="H27" s="104">
        <f>IFERROR(VLOOKUP(CONCATENATE($B$9,$B27),Motor!$B$64:$Z$167,H$21+4,FALSE),)*(1+Prisjustering)^H$21/(1+Justert_prisstigning)^H$21</f>
        <v>11126.433937499998</v>
      </c>
      <c r="I27" s="104">
        <f>IFERROR(VLOOKUP(CONCATENATE($B$9,$B27),Motor!$B$64:$Z$167,I$21+4,FALSE),)*(1+Prisjustering)^I$21/(1+Justert_prisstigning)^I$21</f>
        <v>11404.594785937497</v>
      </c>
      <c r="J27" s="104">
        <f>IFERROR(VLOOKUP(CONCATENATE($B$9,$B27),Motor!$B$64:$Z$167,J$21+4,FALSE),)*(1+Prisjustering)^J$21/(1+Justert_prisstigning)^J$21</f>
        <v>11689.709655585933</v>
      </c>
      <c r="K27" s="104">
        <f>IFERROR(VLOOKUP(CONCATENATE($B$9,$B27),Motor!$B$64:$Z$167,K$21+4,FALSE),)*(1+Prisjustering)^K$21/(1+Justert_prisstigning)^K$21</f>
        <v>0</v>
      </c>
      <c r="L27" s="104">
        <f>IFERROR(VLOOKUP(CONCATENATE($B$9,$B27),Motor!$B$64:$Z$167,L$21+4,FALSE),)*(1+Prisjustering)^L$21/(1+Justert_prisstigning)^L$21</f>
        <v>0</v>
      </c>
      <c r="M27" s="104">
        <f>IFERROR(VLOOKUP(CONCATENATE($B$9,$B27),Motor!$B$64:$Z$167,M$21+4,FALSE),)*(1+Prisjustering)^M$21/(1+Justert_prisstigning)^M$21</f>
        <v>0</v>
      </c>
      <c r="N27" s="104">
        <f>IFERROR(VLOOKUP(CONCATENATE($B$9,$B27),Motor!$B$64:$Z$167,N$21+4,FALSE),)*(1+Prisjustering)^N$21/(1+Justert_prisstigning)^N$21</f>
        <v>0</v>
      </c>
      <c r="O27" s="104">
        <f>IFERROR(VLOOKUP(CONCATENATE($B$9,$B27),Motor!$B$64:$Z$167,O$21+4,FALSE),)*(1+Prisjustering)^O$21/(1+Justert_prisstigning)^O$21</f>
        <v>0</v>
      </c>
      <c r="P27" s="104">
        <f>IFERROR(VLOOKUP(CONCATENATE($B$9,$B27),Motor!$B$64:$Z$167,P$21+4,FALSE),)*(1+Prisjustering)^P$21/(1+Justert_prisstigning)^P$21</f>
        <v>0</v>
      </c>
      <c r="Q27" s="104">
        <f>IFERROR(VLOOKUP(CONCATENATE($B$9,$B27),Motor!$B$64:$Z$167,Q$21+4,FALSE),)*(1+Prisjustering)^Q$21/(1+Justert_prisstigning)^Q$21</f>
        <v>0</v>
      </c>
      <c r="R27" s="104">
        <f>IFERROR(VLOOKUP(CONCATENATE($B$9,$B27),Motor!$B$64:$Z$167,R$21+4,FALSE),)*(1+Prisjustering)^R$21/(1+Justert_prisstigning)^R$21</f>
        <v>0</v>
      </c>
      <c r="S27" s="104">
        <f>IFERROR(VLOOKUP(CONCATENATE($B$9,$B27),Motor!$B$64:$Z$167,S$21+4,FALSE),)*(1+Prisjustering)^S$21/(1+Justert_prisstigning)^S$21</f>
        <v>0</v>
      </c>
      <c r="T27" s="104">
        <f>IFERROR(VLOOKUP(CONCATENATE($B$9,$B27),Motor!$B$64:$Z$167,T$21+4,FALSE),)*(1+Prisjustering)^T$21/(1+Justert_prisstigning)^T$21</f>
        <v>0</v>
      </c>
      <c r="U27" s="104">
        <f>IFERROR(VLOOKUP(CONCATENATE($B$9,$B27),Motor!$B$64:$Z$167,U$21+4,FALSE),)*(1+Prisjustering)^U$21/(1+Justert_prisstigning)^U$21</f>
        <v>0</v>
      </c>
      <c r="V27" s="104">
        <f>IFERROR(VLOOKUP(CONCATENATE($B$9,$B27),Motor!$B$64:$Z$167,V$21+4,FALSE),)*(1+Prisjustering)^V$21/(1+Justert_prisstigning)^V$21</f>
        <v>0</v>
      </c>
      <c r="W27" s="104">
        <f>IFERROR(VLOOKUP(CONCATENATE($B$9,$B27),Motor!$B$64:$Z$167,W$21+4,FALSE),)*(1+Prisjustering)^W$21/(1+Justert_prisstigning)^W$21</f>
        <v>0</v>
      </c>
      <c r="X27" s="104">
        <f>IFERROR(VLOOKUP(CONCATENATE($B$9,$B27),Motor!$B$64:$Z$167,X$21+4,FALSE),)*(1+Prisjustering)^X$21/(1+Justert_prisstigning)^X$21</f>
        <v>0</v>
      </c>
      <c r="Y27" s="104">
        <f t="shared" si="1"/>
        <v>65998.095879023429</v>
      </c>
    </row>
    <row r="28" spans="2:25" s="36" customFormat="1" ht="13.2">
      <c r="B28" s="124" t="str">
        <f>+Motor!C101</f>
        <v>Driftsutgift 4 (per år)</v>
      </c>
      <c r="C28" s="124" t="str">
        <f>+Motor!D101</f>
        <v>Årsavgift</v>
      </c>
      <c r="D28" s="104">
        <f>IFERROR(VLOOKUP(CONCATENATE($B$9,$B28),Motor!$B$64:$Z$167,D$21+4,FALSE),)</f>
        <v>0</v>
      </c>
      <c r="E28" s="104">
        <f>IFERROR(VLOOKUP(CONCATENATE($B$9,$B28),Motor!$B$64:$Z$167,E$21+4,FALSE),)*(1+Prisjustering)^E$21/(1+Justert_prisstigning)^E$21</f>
        <v>0</v>
      </c>
      <c r="F28" s="104">
        <f>IFERROR(VLOOKUP(CONCATENATE($B$9,$B28),Motor!$B$64:$Z$167,F$21+4,FALSE),)*(1+Prisjustering)^F$21/(1+Justert_prisstigning)^F$21</f>
        <v>0</v>
      </c>
      <c r="G28" s="104">
        <f>IFERROR(VLOOKUP(CONCATENATE($B$9,$B28),Motor!$B$64:$Z$167,G$21+4,FALSE),)*(1+Prisjustering)^G$21/(1+Justert_prisstigning)^G$21</f>
        <v>0</v>
      </c>
      <c r="H28" s="104">
        <f>IFERROR(VLOOKUP(CONCATENATE($B$9,$B28),Motor!$B$64:$Z$167,H$21+4,FALSE),)*(1+Prisjustering)^H$21/(1+Justert_prisstigning)^H$21</f>
        <v>0</v>
      </c>
      <c r="I28" s="104">
        <f>IFERROR(VLOOKUP(CONCATENATE($B$9,$B28),Motor!$B$64:$Z$167,I$21+4,FALSE),)*(1+Prisjustering)^I$21/(1+Justert_prisstigning)^I$21</f>
        <v>0</v>
      </c>
      <c r="J28" s="104">
        <f>IFERROR(VLOOKUP(CONCATENATE($B$9,$B28),Motor!$B$64:$Z$167,J$21+4,FALSE),)*(1+Prisjustering)^J$21/(1+Justert_prisstigning)^J$21</f>
        <v>0</v>
      </c>
      <c r="K28" s="104">
        <f>IFERROR(VLOOKUP(CONCATENATE($B$9,$B28),Motor!$B$64:$Z$167,K$21+4,FALSE),)*(1+Prisjustering)^K$21/(1+Justert_prisstigning)^K$21</f>
        <v>0</v>
      </c>
      <c r="L28" s="104">
        <f>IFERROR(VLOOKUP(CONCATENATE($B$9,$B28),Motor!$B$64:$Z$167,L$21+4,FALSE),)*(1+Prisjustering)^L$21/(1+Justert_prisstigning)^L$21</f>
        <v>0</v>
      </c>
      <c r="M28" s="104">
        <f>IFERROR(VLOOKUP(CONCATENATE($B$9,$B28),Motor!$B$64:$Z$167,M$21+4,FALSE),)*(1+Prisjustering)^M$21/(1+Justert_prisstigning)^M$21</f>
        <v>0</v>
      </c>
      <c r="N28" s="104">
        <f>IFERROR(VLOOKUP(CONCATENATE($B$9,$B28),Motor!$B$64:$Z$167,N$21+4,FALSE),)*(1+Prisjustering)^N$21/(1+Justert_prisstigning)^N$21</f>
        <v>0</v>
      </c>
      <c r="O28" s="104">
        <f>IFERROR(VLOOKUP(CONCATENATE($B$9,$B28),Motor!$B$64:$Z$167,O$21+4,FALSE),)*(1+Prisjustering)^O$21/(1+Justert_prisstigning)^O$21</f>
        <v>0</v>
      </c>
      <c r="P28" s="104">
        <f>IFERROR(VLOOKUP(CONCATENATE($B$9,$B28),Motor!$B$64:$Z$167,P$21+4,FALSE),)*(1+Prisjustering)^P$21/(1+Justert_prisstigning)^P$21</f>
        <v>0</v>
      </c>
      <c r="Q28" s="104">
        <f>IFERROR(VLOOKUP(CONCATENATE($B$9,$B28),Motor!$B$64:$Z$167,Q$21+4,FALSE),)*(1+Prisjustering)^Q$21/(1+Justert_prisstigning)^Q$21</f>
        <v>0</v>
      </c>
      <c r="R28" s="104">
        <f>IFERROR(VLOOKUP(CONCATENATE($B$9,$B28),Motor!$B$64:$Z$167,R$21+4,FALSE),)*(1+Prisjustering)^R$21/(1+Justert_prisstigning)^R$21</f>
        <v>0</v>
      </c>
      <c r="S28" s="104">
        <f>IFERROR(VLOOKUP(CONCATENATE($B$9,$B28),Motor!$B$64:$Z$167,S$21+4,FALSE),)*(1+Prisjustering)^S$21/(1+Justert_prisstigning)^S$21</f>
        <v>0</v>
      </c>
      <c r="T28" s="104">
        <f>IFERROR(VLOOKUP(CONCATENATE($B$9,$B28),Motor!$B$64:$Z$167,T$21+4,FALSE),)*(1+Prisjustering)^T$21/(1+Justert_prisstigning)^T$21</f>
        <v>0</v>
      </c>
      <c r="U28" s="104">
        <f>IFERROR(VLOOKUP(CONCATENATE($B$9,$B28),Motor!$B$64:$Z$167,U$21+4,FALSE),)*(1+Prisjustering)^U$21/(1+Justert_prisstigning)^U$21</f>
        <v>0</v>
      </c>
      <c r="V28" s="104">
        <f>IFERROR(VLOOKUP(CONCATENATE($B$9,$B28),Motor!$B$64:$Z$167,V$21+4,FALSE),)*(1+Prisjustering)^V$21/(1+Justert_prisstigning)^V$21</f>
        <v>0</v>
      </c>
      <c r="W28" s="104">
        <f>IFERROR(VLOOKUP(CONCATENATE($B$9,$B28),Motor!$B$64:$Z$167,W$21+4,FALSE),)*(1+Prisjustering)^W$21/(1+Justert_prisstigning)^W$21</f>
        <v>0</v>
      </c>
      <c r="X28" s="104">
        <f>IFERROR(VLOOKUP(CONCATENATE($B$9,$B28),Motor!$B$64:$Z$167,X$21+4,FALSE),)*(1+Prisjustering)^X$21/(1+Justert_prisstigning)^X$21</f>
        <v>0</v>
      </c>
      <c r="Y28" s="104">
        <f t="shared" si="1"/>
        <v>0</v>
      </c>
    </row>
    <row r="29" spans="2:25" s="36" customFormat="1" ht="13.2">
      <c r="B29" s="124" t="str">
        <f>+Motor!C102</f>
        <v>Driftsutgift 5 (per år)</v>
      </c>
      <c r="C29" s="124" t="str">
        <f>+Motor!D102</f>
        <v>Andre driftskostnader</v>
      </c>
      <c r="D29" s="104">
        <f>IFERROR(VLOOKUP(CONCATENATE($B$9,$B29),Motor!$B$64:$Z$167,D$21+4,FALSE),)</f>
        <v>0</v>
      </c>
      <c r="E29" s="104">
        <f>IFERROR(VLOOKUP(CONCATENATE($B$9,$B29),Motor!$B$64:$Z$167,E$21+4,FALSE),)*(1+Prisjustering)^E$21/(1+Justert_prisstigning)^E$21</f>
        <v>0</v>
      </c>
      <c r="F29" s="104">
        <f>IFERROR(VLOOKUP(CONCATENATE($B$9,$B29),Motor!$B$64:$Z$167,F$21+4,FALSE),)*(1+Prisjustering)^F$21/(1+Justert_prisstigning)^F$21</f>
        <v>0</v>
      </c>
      <c r="G29" s="104">
        <f>IFERROR(VLOOKUP(CONCATENATE($B$9,$B29),Motor!$B$64:$Z$167,G$21+4,FALSE),)*(1+Prisjustering)^G$21/(1+Justert_prisstigning)^G$21</f>
        <v>0</v>
      </c>
      <c r="H29" s="104">
        <f>IFERROR(VLOOKUP(CONCATENATE($B$9,$B29),Motor!$B$64:$Z$167,H$21+4,FALSE),)*(1+Prisjustering)^H$21/(1+Justert_prisstigning)^H$21</f>
        <v>0</v>
      </c>
      <c r="I29" s="104">
        <f>IFERROR(VLOOKUP(CONCATENATE($B$9,$B29),Motor!$B$64:$Z$167,I$21+4,FALSE),)*(1+Prisjustering)^I$21/(1+Justert_prisstigning)^I$21</f>
        <v>0</v>
      </c>
      <c r="J29" s="104">
        <f>IFERROR(VLOOKUP(CONCATENATE($B$9,$B29),Motor!$B$64:$Z$167,J$21+4,FALSE),)*(1+Prisjustering)^J$21/(1+Justert_prisstigning)^J$21</f>
        <v>0</v>
      </c>
      <c r="K29" s="104">
        <f>IFERROR(VLOOKUP(CONCATENATE($B$9,$B29),Motor!$B$64:$Z$167,K$21+4,FALSE),)*(1+Prisjustering)^K$21/(1+Justert_prisstigning)^K$21</f>
        <v>0</v>
      </c>
      <c r="L29" s="104">
        <f>IFERROR(VLOOKUP(CONCATENATE($B$9,$B29),Motor!$B$64:$Z$167,L$21+4,FALSE),)*(1+Prisjustering)^L$21/(1+Justert_prisstigning)^L$21</f>
        <v>0</v>
      </c>
      <c r="M29" s="104">
        <f>IFERROR(VLOOKUP(CONCATENATE($B$9,$B29),Motor!$B$64:$Z$167,M$21+4,FALSE),)*(1+Prisjustering)^M$21/(1+Justert_prisstigning)^M$21</f>
        <v>0</v>
      </c>
      <c r="N29" s="104">
        <f>IFERROR(VLOOKUP(CONCATENATE($B$9,$B29),Motor!$B$64:$Z$167,N$21+4,FALSE),)*(1+Prisjustering)^N$21/(1+Justert_prisstigning)^N$21</f>
        <v>0</v>
      </c>
      <c r="O29" s="104">
        <f>IFERROR(VLOOKUP(CONCATENATE($B$9,$B29),Motor!$B$64:$Z$167,O$21+4,FALSE),)*(1+Prisjustering)^O$21/(1+Justert_prisstigning)^O$21</f>
        <v>0</v>
      </c>
      <c r="P29" s="104">
        <f>IFERROR(VLOOKUP(CONCATENATE($B$9,$B29),Motor!$B$64:$Z$167,P$21+4,FALSE),)*(1+Prisjustering)^P$21/(1+Justert_prisstigning)^P$21</f>
        <v>0</v>
      </c>
      <c r="Q29" s="104">
        <f>IFERROR(VLOOKUP(CONCATENATE($B$9,$B29),Motor!$B$64:$Z$167,Q$21+4,FALSE),)*(1+Prisjustering)^Q$21/(1+Justert_prisstigning)^Q$21</f>
        <v>0</v>
      </c>
      <c r="R29" s="104">
        <f>IFERROR(VLOOKUP(CONCATENATE($B$9,$B29),Motor!$B$64:$Z$167,R$21+4,FALSE),)*(1+Prisjustering)^R$21/(1+Justert_prisstigning)^R$21</f>
        <v>0</v>
      </c>
      <c r="S29" s="104">
        <f>IFERROR(VLOOKUP(CONCATENATE($B$9,$B29),Motor!$B$64:$Z$167,S$21+4,FALSE),)*(1+Prisjustering)^S$21/(1+Justert_prisstigning)^S$21</f>
        <v>0</v>
      </c>
      <c r="T29" s="104">
        <f>IFERROR(VLOOKUP(CONCATENATE($B$9,$B29),Motor!$B$64:$Z$167,T$21+4,FALSE),)*(1+Prisjustering)^T$21/(1+Justert_prisstigning)^T$21</f>
        <v>0</v>
      </c>
      <c r="U29" s="104">
        <f>IFERROR(VLOOKUP(CONCATENATE($B$9,$B29),Motor!$B$64:$Z$167,U$21+4,FALSE),)*(1+Prisjustering)^U$21/(1+Justert_prisstigning)^U$21</f>
        <v>0</v>
      </c>
      <c r="V29" s="104">
        <f>IFERROR(VLOOKUP(CONCATENATE($B$9,$B29),Motor!$B$64:$Z$167,V$21+4,FALSE),)*(1+Prisjustering)^V$21/(1+Justert_prisstigning)^V$21</f>
        <v>0</v>
      </c>
      <c r="W29" s="104">
        <f>IFERROR(VLOOKUP(CONCATENATE($B$9,$B29),Motor!$B$64:$Z$167,W$21+4,FALSE),)*(1+Prisjustering)^W$21/(1+Justert_prisstigning)^W$21</f>
        <v>0</v>
      </c>
      <c r="X29" s="104">
        <f>IFERROR(VLOOKUP(CONCATENATE($B$9,$B29),Motor!$B$64:$Z$167,X$21+4,FALSE),)*(1+Prisjustering)^X$21/(1+Justert_prisstigning)^X$21</f>
        <v>0</v>
      </c>
      <c r="Y29" s="104">
        <f t="shared" si="1"/>
        <v>0</v>
      </c>
    </row>
    <row r="30" spans="2:25" s="36" customFormat="1" ht="13.2">
      <c r="B30" s="124" t="str">
        <f>+Motor!C103</f>
        <v>Avhendingskostnader/restverdier</v>
      </c>
      <c r="C30" s="124" t="str">
        <f>+Motor!D103</f>
        <v>Avhendingsutgifter - salgsinntekter</v>
      </c>
      <c r="D30" s="104">
        <f>IFERROR(VLOOKUP(CONCATENATE($B$9,$B30),Motor!$B$64:$Z$167,D$21+4,FALSE),)</f>
        <v>0</v>
      </c>
      <c r="E30" s="104">
        <f>IFERROR(VLOOKUP(CONCATENATE($B$9,$B30),Motor!$B$64:$Z$167,E$21+4,FALSE),)*(1+Prisjustering)^E$21/(1+Justert_prisstigning)^E$21</f>
        <v>0</v>
      </c>
      <c r="F30" s="104">
        <f>IFERROR(VLOOKUP(CONCATENATE($B$9,$B30),Motor!$B$64:$Z$167,F$21+4,FALSE),)*(1+Prisjustering)^F$21/(1+Justert_prisstigning)^F$21</f>
        <v>0</v>
      </c>
      <c r="G30" s="104">
        <f>IFERROR(VLOOKUP(CONCATENATE($B$9,$B30),Motor!$B$64:$Z$167,G$21+4,FALSE),)*(1+Prisjustering)^G$21/(1+Justert_prisstigning)^G$21</f>
        <v>0</v>
      </c>
      <c r="H30" s="104">
        <f>IFERROR(VLOOKUP(CONCATENATE($B$9,$B30),Motor!$B$64:$Z$167,H$21+4,FALSE),)*(1+Prisjustering)^H$21/(1+Justert_prisstigning)^H$21</f>
        <v>0</v>
      </c>
      <c r="I30" s="104">
        <f>IFERROR(VLOOKUP(CONCATENATE($B$9,$B30),Motor!$B$64:$Z$167,I$21+4,FALSE),)*(1+Prisjustering)^I$21/(1+Justert_prisstigning)^I$21</f>
        <v>0</v>
      </c>
      <c r="J30" s="104">
        <f>IFERROR(VLOOKUP(CONCATENATE($B$9,$B30),Motor!$B$64:$Z$167,J$21+4,FALSE),)*(1+Prisjustering)^J$21/(1+Justert_prisstigning)^J$21</f>
        <v>-198104.62816621698</v>
      </c>
      <c r="K30" s="104">
        <f>IFERROR(VLOOKUP(CONCATENATE($B$9,$B30),Motor!$B$64:$Z$167,K$21+4,FALSE),)*(1+Prisjustering)^K$21/(1+Justert_prisstigning)^K$21</f>
        <v>0</v>
      </c>
      <c r="L30" s="104">
        <f>IFERROR(VLOOKUP(CONCATENATE($B$9,$B30),Motor!$B$64:$Z$167,L$21+4,FALSE),)*(1+Prisjustering)^L$21/(1+Justert_prisstigning)^L$21</f>
        <v>0</v>
      </c>
      <c r="M30" s="104">
        <f>IFERROR(VLOOKUP(CONCATENATE($B$9,$B30),Motor!$B$64:$Z$167,M$21+4,FALSE),)*(1+Prisjustering)^M$21/(1+Justert_prisstigning)^M$21</f>
        <v>0</v>
      </c>
      <c r="N30" s="104">
        <f>IFERROR(VLOOKUP(CONCATENATE($B$9,$B30),Motor!$B$64:$Z$167,N$21+4,FALSE),)*(1+Prisjustering)^N$21/(1+Justert_prisstigning)^N$21</f>
        <v>0</v>
      </c>
      <c r="O30" s="104">
        <f>IFERROR(VLOOKUP(CONCATENATE($B$9,$B30),Motor!$B$64:$Z$167,O$21+4,FALSE),)*(1+Prisjustering)^O$21/(1+Justert_prisstigning)^O$21</f>
        <v>0</v>
      </c>
      <c r="P30" s="104">
        <f>IFERROR(VLOOKUP(CONCATENATE($B$9,$B30),Motor!$B$64:$Z$167,P$21+4,FALSE),)*(1+Prisjustering)^P$21/(1+Justert_prisstigning)^P$21</f>
        <v>0</v>
      </c>
      <c r="Q30" s="104">
        <f>IFERROR(VLOOKUP(CONCATENATE($B$9,$B30),Motor!$B$64:$Z$167,Q$21+4,FALSE),)*(1+Prisjustering)^Q$21/(1+Justert_prisstigning)^Q$21</f>
        <v>0</v>
      </c>
      <c r="R30" s="104">
        <f>IFERROR(VLOOKUP(CONCATENATE($B$9,$B30),Motor!$B$64:$Z$167,R$21+4,FALSE),)*(1+Prisjustering)^R$21/(1+Justert_prisstigning)^R$21</f>
        <v>0</v>
      </c>
      <c r="S30" s="104">
        <f>IFERROR(VLOOKUP(CONCATENATE($B$9,$B30),Motor!$B$64:$Z$167,S$21+4,FALSE),)*(1+Prisjustering)^S$21/(1+Justert_prisstigning)^S$21</f>
        <v>0</v>
      </c>
      <c r="T30" s="104">
        <f>IFERROR(VLOOKUP(CONCATENATE($B$9,$B30),Motor!$B$64:$Z$167,T$21+4,FALSE),)*(1+Prisjustering)^T$21/(1+Justert_prisstigning)^T$21</f>
        <v>0</v>
      </c>
      <c r="U30" s="104">
        <f>IFERROR(VLOOKUP(CONCATENATE($B$9,$B30),Motor!$B$64:$Z$167,U$21+4,FALSE),)*(1+Prisjustering)^U$21/(1+Justert_prisstigning)^U$21</f>
        <v>0</v>
      </c>
      <c r="V30" s="104">
        <f>IFERROR(VLOOKUP(CONCATENATE($B$9,$B30),Motor!$B$64:$Z$167,V$21+4,FALSE),)*(1+Prisjustering)^V$21/(1+Justert_prisstigning)^V$21</f>
        <v>0</v>
      </c>
      <c r="W30" s="104">
        <f>IFERROR(VLOOKUP(CONCATENATE($B$9,$B30),Motor!$B$64:$Z$167,W$21+4,FALSE),)*(1+Prisjustering)^W$21/(1+Justert_prisstigning)^W$21</f>
        <v>0</v>
      </c>
      <c r="X30" s="104">
        <f>IFERROR(VLOOKUP(CONCATENATE($B$9,$B30),Motor!$B$64:$Z$167,X$21+4,FALSE),)*(1+Prisjustering)^X$21/(1+Justert_prisstigning)^X$21</f>
        <v>0</v>
      </c>
      <c r="Y30" s="104">
        <f t="shared" si="1"/>
        <v>-198104.62816621698</v>
      </c>
    </row>
    <row r="31" spans="2:25" s="36" customFormat="1" ht="13.2">
      <c r="B31" s="124"/>
      <c r="C31" s="124" t="str">
        <f>+Motor!D104</f>
        <v>Sum utgifter</v>
      </c>
      <c r="D31" s="104">
        <f>SUM(D22:D30)</f>
        <v>1213910.3534548138</v>
      </c>
      <c r="E31" s="104">
        <f t="shared" ref="E31:X31" si="2">SUM(E22:E30)</f>
        <v>10332</v>
      </c>
      <c r="F31" s="104">
        <f t="shared" si="2"/>
        <v>10590.3</v>
      </c>
      <c r="G31" s="104">
        <f t="shared" si="2"/>
        <v>10855.057499999999</v>
      </c>
      <c r="H31" s="104">
        <f t="shared" si="2"/>
        <v>11126.433937499998</v>
      </c>
      <c r="I31" s="104">
        <f t="shared" si="2"/>
        <v>11404.594785937497</v>
      </c>
      <c r="J31" s="104">
        <f t="shared" si="2"/>
        <v>-186414.91851063105</v>
      </c>
      <c r="K31" s="104">
        <f t="shared" si="2"/>
        <v>0</v>
      </c>
      <c r="L31" s="104">
        <f t="shared" si="2"/>
        <v>0</v>
      </c>
      <c r="M31" s="104">
        <f t="shared" si="2"/>
        <v>0</v>
      </c>
      <c r="N31" s="104">
        <f t="shared" si="2"/>
        <v>0</v>
      </c>
      <c r="O31" s="104">
        <f t="shared" si="2"/>
        <v>0</v>
      </c>
      <c r="P31" s="104">
        <f t="shared" si="2"/>
        <v>0</v>
      </c>
      <c r="Q31" s="104">
        <f t="shared" si="2"/>
        <v>0</v>
      </c>
      <c r="R31" s="104">
        <f t="shared" si="2"/>
        <v>0</v>
      </c>
      <c r="S31" s="104">
        <f t="shared" si="2"/>
        <v>0</v>
      </c>
      <c r="T31" s="104">
        <f t="shared" si="2"/>
        <v>0</v>
      </c>
      <c r="U31" s="104">
        <f t="shared" si="2"/>
        <v>0</v>
      </c>
      <c r="V31" s="104">
        <f t="shared" si="2"/>
        <v>0</v>
      </c>
      <c r="W31" s="104">
        <f t="shared" si="2"/>
        <v>0</v>
      </c>
      <c r="X31" s="104">
        <f t="shared" si="2"/>
        <v>0</v>
      </c>
      <c r="Y31" s="95">
        <f t="shared" si="1"/>
        <v>1081803.8211676206</v>
      </c>
    </row>
    <row r="32" spans="2:25" s="31" customFormat="1" ht="6.75" customHeight="1"/>
    <row r="33" spans="2:25" s="36" customFormat="1" ht="15" customHeight="1">
      <c r="B33" s="177" t="s">
        <v>165</v>
      </c>
      <c r="C33" s="177"/>
      <c r="D33" s="178">
        <v>0</v>
      </c>
      <c r="E33" s="178">
        <v>1</v>
      </c>
      <c r="F33" s="178">
        <v>2</v>
      </c>
      <c r="G33" s="178">
        <v>3</v>
      </c>
      <c r="H33" s="178">
        <v>4</v>
      </c>
      <c r="I33" s="178">
        <v>5</v>
      </c>
      <c r="J33" s="178">
        <v>6</v>
      </c>
      <c r="K33" s="178">
        <v>7</v>
      </c>
      <c r="L33" s="178">
        <v>8</v>
      </c>
      <c r="M33" s="178">
        <v>9</v>
      </c>
      <c r="N33" s="178">
        <v>10</v>
      </c>
      <c r="O33" s="178">
        <v>11</v>
      </c>
      <c r="P33" s="178">
        <v>12</v>
      </c>
      <c r="Q33" s="178">
        <v>13</v>
      </c>
      <c r="R33" s="178">
        <v>14</v>
      </c>
      <c r="S33" s="178">
        <v>15</v>
      </c>
      <c r="T33" s="178">
        <v>16</v>
      </c>
      <c r="U33" s="178">
        <v>17</v>
      </c>
      <c r="V33" s="178">
        <v>18</v>
      </c>
      <c r="W33" s="178">
        <v>19</v>
      </c>
      <c r="X33" s="178">
        <v>20</v>
      </c>
      <c r="Y33" s="179" t="s">
        <v>89</v>
      </c>
    </row>
    <row r="34" spans="2:25" s="36" customFormat="1" ht="13.2">
      <c r="B34" s="180" t="str">
        <f>+Motor!C95</f>
        <v>Investeringskost 1</v>
      </c>
      <c r="C34" s="180" t="str">
        <f>+Motor!D95</f>
        <v>Bil med sommer og vinterdekk</v>
      </c>
      <c r="D34" s="181"/>
      <c r="E34" s="181"/>
      <c r="F34" s="181"/>
      <c r="G34" s="181"/>
      <c r="H34" s="181"/>
      <c r="I34" s="181"/>
      <c r="J34" s="181"/>
      <c r="K34" s="181"/>
      <c r="L34" s="181"/>
      <c r="M34" s="181"/>
      <c r="N34" s="181"/>
      <c r="O34" s="181"/>
      <c r="P34" s="181"/>
      <c r="Q34" s="181"/>
      <c r="R34" s="181"/>
      <c r="S34" s="181"/>
      <c r="T34" s="181"/>
      <c r="U34" s="181"/>
      <c r="V34" s="181"/>
      <c r="W34" s="181"/>
      <c r="X34" s="181"/>
      <c r="Y34" s="182">
        <f t="shared" ref="Y34:Y42" si="3">SUM(D34:X34)</f>
        <v>0</v>
      </c>
    </row>
    <row r="35" spans="2:25" s="36" customFormat="1" ht="13.2">
      <c r="B35" s="183" t="str">
        <f>+Motor!C96</f>
        <v>Investeringskost 2</v>
      </c>
      <c r="C35" s="183" t="str">
        <f>+Motor!D96</f>
        <v>Ekstrautstyr: automatgir og ryggesensor</v>
      </c>
      <c r="D35" s="165"/>
      <c r="E35" s="165"/>
      <c r="F35" s="165"/>
      <c r="G35" s="165"/>
      <c r="H35" s="165"/>
      <c r="I35" s="165"/>
      <c r="J35" s="165"/>
      <c r="K35" s="165"/>
      <c r="L35" s="165"/>
      <c r="M35" s="165"/>
      <c r="N35" s="165"/>
      <c r="O35" s="165"/>
      <c r="P35" s="165"/>
      <c r="Q35" s="165"/>
      <c r="R35" s="165"/>
      <c r="S35" s="165"/>
      <c r="T35" s="165"/>
      <c r="U35" s="165"/>
      <c r="V35" s="165"/>
      <c r="W35" s="165"/>
      <c r="X35" s="165"/>
      <c r="Y35" s="184">
        <f t="shared" si="3"/>
        <v>0</v>
      </c>
    </row>
    <row r="36" spans="2:25" s="36" customFormat="1" ht="13.2">
      <c r="B36" s="183" t="str">
        <f>+Motor!C97</f>
        <v>Investeringskost 3</v>
      </c>
      <c r="C36" s="183" t="str">
        <f>+Motor!D97</f>
        <v>Andre investeringskostnader</v>
      </c>
      <c r="D36" s="165"/>
      <c r="E36" s="165"/>
      <c r="F36" s="165"/>
      <c r="G36" s="165"/>
      <c r="H36" s="165"/>
      <c r="I36" s="165"/>
      <c r="J36" s="165"/>
      <c r="K36" s="165"/>
      <c r="L36" s="165"/>
      <c r="M36" s="165"/>
      <c r="N36" s="165"/>
      <c r="O36" s="165"/>
      <c r="P36" s="165"/>
      <c r="Q36" s="165"/>
      <c r="R36" s="165"/>
      <c r="S36" s="165"/>
      <c r="T36" s="165"/>
      <c r="U36" s="165"/>
      <c r="V36" s="165"/>
      <c r="W36" s="165"/>
      <c r="X36" s="165"/>
      <c r="Y36" s="184">
        <f t="shared" si="3"/>
        <v>0</v>
      </c>
    </row>
    <row r="37" spans="2:25" s="36" customFormat="1" ht="13.2">
      <c r="B37" s="183" t="str">
        <f>+Motor!C98</f>
        <v>Driftsutgift 1 (per år)</v>
      </c>
      <c r="C37" s="183" t="str">
        <f>+Motor!D98</f>
        <v>Forsikring</v>
      </c>
      <c r="D37" s="165"/>
      <c r="E37" s="164"/>
      <c r="F37" s="164"/>
      <c r="G37" s="164"/>
      <c r="H37" s="164"/>
      <c r="I37" s="164"/>
      <c r="J37" s="164"/>
      <c r="K37" s="164"/>
      <c r="L37" s="164"/>
      <c r="M37" s="164"/>
      <c r="N37" s="164"/>
      <c r="O37" s="164"/>
      <c r="P37" s="164"/>
      <c r="Q37" s="164"/>
      <c r="R37" s="164"/>
      <c r="S37" s="164"/>
      <c r="T37" s="164"/>
      <c r="U37" s="164"/>
      <c r="V37" s="164"/>
      <c r="W37" s="164"/>
      <c r="X37" s="164"/>
      <c r="Y37" s="184">
        <f t="shared" si="3"/>
        <v>0</v>
      </c>
    </row>
    <row r="38" spans="2:25" s="36" customFormat="1" ht="13.2">
      <c r="B38" s="183" t="str">
        <f>+Motor!C99</f>
        <v>Driftsutgift 2 (per år)</v>
      </c>
      <c r="C38" s="183" t="str">
        <f>+Motor!D99</f>
        <v>Reparasjon og vedlikehold</v>
      </c>
      <c r="D38" s="165"/>
      <c r="E38" s="164"/>
      <c r="F38" s="164"/>
      <c r="G38" s="164"/>
      <c r="H38" s="164"/>
      <c r="I38" s="164"/>
      <c r="J38" s="164"/>
      <c r="K38" s="164"/>
      <c r="L38" s="164"/>
      <c r="M38" s="164"/>
      <c r="N38" s="164"/>
      <c r="O38" s="164"/>
      <c r="P38" s="164"/>
      <c r="Q38" s="164"/>
      <c r="R38" s="164"/>
      <c r="S38" s="164"/>
      <c r="T38" s="164"/>
      <c r="U38" s="164"/>
      <c r="V38" s="164"/>
      <c r="W38" s="164"/>
      <c r="X38" s="164"/>
      <c r="Y38" s="184">
        <f t="shared" si="3"/>
        <v>0</v>
      </c>
    </row>
    <row r="39" spans="2:25" s="36" customFormat="1" ht="13.2">
      <c r="B39" s="183" t="str">
        <f>+Motor!C100</f>
        <v>Driftsutgift 3 (per år)</v>
      </c>
      <c r="C39" s="183" t="str">
        <f>+Motor!D100</f>
        <v>Forbruk (kjørelengde 1 400 mil årlig forbruk fra spekk/test)</v>
      </c>
      <c r="D39" s="165"/>
      <c r="E39" s="164"/>
      <c r="F39" s="164"/>
      <c r="G39" s="164"/>
      <c r="H39" s="164"/>
      <c r="I39" s="164"/>
      <c r="J39" s="164"/>
      <c r="K39" s="164"/>
      <c r="L39" s="164"/>
      <c r="M39" s="164"/>
      <c r="N39" s="164"/>
      <c r="O39" s="164"/>
      <c r="P39" s="164"/>
      <c r="Q39" s="164"/>
      <c r="R39" s="164"/>
      <c r="S39" s="164"/>
      <c r="T39" s="164"/>
      <c r="U39" s="164"/>
      <c r="V39" s="164"/>
      <c r="W39" s="164"/>
      <c r="X39" s="164"/>
      <c r="Y39" s="184">
        <f t="shared" si="3"/>
        <v>0</v>
      </c>
    </row>
    <row r="40" spans="2:25" s="36" customFormat="1" ht="13.2">
      <c r="B40" s="183" t="str">
        <f>+Motor!C101</f>
        <v>Driftsutgift 4 (per år)</v>
      </c>
      <c r="C40" s="183" t="str">
        <f>+Motor!D101</f>
        <v>Årsavgift</v>
      </c>
      <c r="D40" s="165"/>
      <c r="E40" s="164"/>
      <c r="F40" s="164"/>
      <c r="G40" s="164"/>
      <c r="H40" s="164"/>
      <c r="I40" s="164"/>
      <c r="J40" s="164"/>
      <c r="K40" s="164"/>
      <c r="L40" s="164"/>
      <c r="M40" s="164"/>
      <c r="N40" s="164"/>
      <c r="O40" s="164"/>
      <c r="P40" s="164"/>
      <c r="Q40" s="164"/>
      <c r="R40" s="164"/>
      <c r="S40" s="164"/>
      <c r="T40" s="164"/>
      <c r="U40" s="164"/>
      <c r="V40" s="164"/>
      <c r="W40" s="164"/>
      <c r="X40" s="164"/>
      <c r="Y40" s="184">
        <f t="shared" si="3"/>
        <v>0</v>
      </c>
    </row>
    <row r="41" spans="2:25" s="36" customFormat="1" ht="13.2">
      <c r="B41" s="183" t="str">
        <f>+Motor!C102</f>
        <v>Driftsutgift 5 (per år)</v>
      </c>
      <c r="C41" s="183" t="str">
        <f>+Motor!D102</f>
        <v>Andre driftskostnader</v>
      </c>
      <c r="D41" s="165"/>
      <c r="E41" s="164"/>
      <c r="F41" s="164"/>
      <c r="G41" s="164"/>
      <c r="H41" s="164"/>
      <c r="I41" s="164"/>
      <c r="J41" s="164"/>
      <c r="K41" s="164"/>
      <c r="L41" s="164"/>
      <c r="M41" s="164"/>
      <c r="N41" s="164"/>
      <c r="O41" s="164"/>
      <c r="P41" s="164"/>
      <c r="Q41" s="164"/>
      <c r="R41" s="164"/>
      <c r="S41" s="164"/>
      <c r="T41" s="164"/>
      <c r="U41" s="164"/>
      <c r="V41" s="164"/>
      <c r="W41" s="164"/>
      <c r="X41" s="164"/>
      <c r="Y41" s="184">
        <f t="shared" si="3"/>
        <v>0</v>
      </c>
    </row>
    <row r="42" spans="2:25" s="36" customFormat="1" ht="13.2">
      <c r="B42" s="183" t="str">
        <f>+Motor!C103</f>
        <v>Avhendingskostnader/restverdier</v>
      </c>
      <c r="C42" s="183" t="str">
        <f>+Motor!D103</f>
        <v>Avhendingsutgifter - salgsinntekter</v>
      </c>
      <c r="D42" s="165"/>
      <c r="E42" s="164"/>
      <c r="F42" s="164"/>
      <c r="G42" s="164"/>
      <c r="H42" s="164"/>
      <c r="I42" s="164"/>
      <c r="J42" s="164"/>
      <c r="K42" s="164"/>
      <c r="L42" s="164"/>
      <c r="M42" s="164"/>
      <c r="N42" s="164"/>
      <c r="O42" s="164"/>
      <c r="P42" s="164"/>
      <c r="Q42" s="164"/>
      <c r="R42" s="164"/>
      <c r="S42" s="164"/>
      <c r="T42" s="164"/>
      <c r="U42" s="164"/>
      <c r="V42" s="164"/>
      <c r="W42" s="164"/>
      <c r="X42" s="164"/>
      <c r="Y42" s="184">
        <f t="shared" si="3"/>
        <v>0</v>
      </c>
    </row>
    <row r="43" spans="2:25" s="36" customFormat="1" ht="13.2">
      <c r="B43" s="185"/>
      <c r="C43" s="185" t="str">
        <f>+Motor!D104</f>
        <v>Sum utgifter</v>
      </c>
      <c r="D43" s="186">
        <f>SUM(D34:D41)</f>
        <v>0</v>
      </c>
      <c r="E43" s="186">
        <f t="shared" ref="E43:X43" si="4">SUM(E34:E41)</f>
        <v>0</v>
      </c>
      <c r="F43" s="186">
        <f t="shared" si="4"/>
        <v>0</v>
      </c>
      <c r="G43" s="186">
        <f t="shared" si="4"/>
        <v>0</v>
      </c>
      <c r="H43" s="186">
        <f t="shared" si="4"/>
        <v>0</v>
      </c>
      <c r="I43" s="186">
        <f t="shared" si="4"/>
        <v>0</v>
      </c>
      <c r="J43" s="186">
        <f t="shared" si="4"/>
        <v>0</v>
      </c>
      <c r="K43" s="186">
        <f t="shared" si="4"/>
        <v>0</v>
      </c>
      <c r="L43" s="186">
        <f t="shared" si="4"/>
        <v>0</v>
      </c>
      <c r="M43" s="186">
        <f t="shared" si="4"/>
        <v>0</v>
      </c>
      <c r="N43" s="186">
        <f t="shared" si="4"/>
        <v>0</v>
      </c>
      <c r="O43" s="186">
        <f t="shared" si="4"/>
        <v>0</v>
      </c>
      <c r="P43" s="186">
        <f t="shared" si="4"/>
        <v>0</v>
      </c>
      <c r="Q43" s="186">
        <f t="shared" si="4"/>
        <v>0</v>
      </c>
      <c r="R43" s="186">
        <f t="shared" si="4"/>
        <v>0</v>
      </c>
      <c r="S43" s="186">
        <f t="shared" si="4"/>
        <v>0</v>
      </c>
      <c r="T43" s="186">
        <f t="shared" si="4"/>
        <v>0</v>
      </c>
      <c r="U43" s="186">
        <f t="shared" si="4"/>
        <v>0</v>
      </c>
      <c r="V43" s="186">
        <f t="shared" si="4"/>
        <v>0</v>
      </c>
      <c r="W43" s="186">
        <f t="shared" si="4"/>
        <v>0</v>
      </c>
      <c r="X43" s="186">
        <f t="shared" si="4"/>
        <v>0</v>
      </c>
      <c r="Y43" s="187"/>
    </row>
    <row r="44" spans="2:25" s="31" customFormat="1" ht="13.2">
      <c r="B44" s="53"/>
      <c r="C44" s="53"/>
      <c r="D44" s="33"/>
      <c r="E44" s="33"/>
      <c r="F44" s="33"/>
      <c r="G44" s="33"/>
      <c r="H44" s="33"/>
      <c r="I44" s="33"/>
      <c r="J44" s="33"/>
      <c r="K44" s="33"/>
      <c r="L44" s="33"/>
      <c r="M44" s="33"/>
      <c r="N44" s="33"/>
      <c r="O44" s="33"/>
      <c r="P44" s="33"/>
      <c r="Q44" s="33"/>
      <c r="R44" s="33"/>
      <c r="S44" s="33"/>
      <c r="T44" s="33"/>
      <c r="U44" s="33"/>
      <c r="V44" s="33"/>
      <c r="W44" s="33"/>
      <c r="X44" s="33"/>
    </row>
    <row r="45" spans="2:25" s="36" customFormat="1" ht="13.2">
      <c r="B45" s="34"/>
      <c r="Y45" s="31"/>
    </row>
  </sheetData>
  <sheetProtection algorithmName="SHA-512" hashValue="dmPi0SdJYbiuFfBOTco0J3NmXVrsYdfPo4j7Y6ZWhpYnE3+rkgwLQytZbyEgZTJWmsB3T79SbXmrn7O8w0VoHg==" saltValue="uyLfQM4qa3oSFsqL/upUcA==" spinCount="100000" sheet="1" objects="1" scenarios="1"/>
  <pageMargins left="0.70866141732283472" right="0.70866141732283472" top="0.74803149606299213" bottom="0.74803149606299213" header="0.31496062992125984" footer="0.31496062992125984"/>
  <pageSetup paperSize="9" scale="49" orientation="landscape" r:id="rId1"/>
  <headerFooter>
    <oddFooter>&amp;L&amp;F&amp;C&amp;A&amp;Rside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1C75DA"/>
    <pageSetUpPr fitToPage="1"/>
  </sheetPr>
  <dimension ref="A1:AW167"/>
  <sheetViews>
    <sheetView showGridLines="0" showZeros="0" zoomScaleNormal="100" workbookViewId="0">
      <selection activeCell="D155" sqref="D155"/>
    </sheetView>
  </sheetViews>
  <sheetFormatPr baseColWidth="10" defaultColWidth="17.44140625" defaultRowHeight="13.8"/>
  <cols>
    <col min="1" max="1" width="3.44140625" style="2" customWidth="1"/>
    <col min="2" max="2" width="34.88671875" style="2" hidden="1" customWidth="1"/>
    <col min="3" max="3" width="25.44140625" style="10" customWidth="1"/>
    <col min="4" max="4" width="27.88671875" style="2" customWidth="1"/>
    <col min="5" max="6" width="13.5546875" style="2" bestFit="1" customWidth="1"/>
    <col min="7" max="7" width="15.88671875" style="2" bestFit="1" customWidth="1"/>
    <col min="8" max="8" width="17" style="2" bestFit="1" customWidth="1"/>
    <col min="9" max="9" width="16.5546875" style="2" bestFit="1" customWidth="1"/>
    <col min="10" max="10" width="17" style="2" bestFit="1" customWidth="1"/>
    <col min="11" max="11" width="16.44140625" style="2" customWidth="1"/>
    <col min="12" max="12" width="16.88671875" style="2" customWidth="1"/>
    <col min="13" max="14" width="16.5546875" style="2" customWidth="1"/>
    <col min="15" max="20" width="12.5546875" style="2" bestFit="1" customWidth="1"/>
    <col min="21" max="24" width="10.44140625" style="2" bestFit="1" customWidth="1"/>
    <col min="25" max="25" width="14.5546875" style="2" customWidth="1"/>
    <col min="26" max="26" width="15.44140625" style="2" customWidth="1"/>
    <col min="27" max="27" width="18.88671875" style="2" customWidth="1"/>
    <col min="28" max="28" width="35.44140625" style="2" bestFit="1" customWidth="1"/>
    <col min="29" max="49" width="10.5546875" style="2" customWidth="1"/>
    <col min="50" max="16384" width="17.44140625" style="2"/>
  </cols>
  <sheetData>
    <row r="1" spans="1:26" ht="13.5" customHeight="1">
      <c r="A1" s="189"/>
    </row>
    <row r="2" spans="1:26" ht="38.1" customHeight="1">
      <c r="C2" s="89" t="s">
        <v>170</v>
      </c>
      <c r="D2" s="89"/>
      <c r="E2" s="89"/>
      <c r="F2" s="89"/>
      <c r="G2" s="89"/>
      <c r="H2" s="89"/>
      <c r="I2" s="89"/>
      <c r="J2" s="89"/>
      <c r="K2" s="89"/>
      <c r="L2" s="89"/>
      <c r="M2" s="89"/>
      <c r="N2" s="89"/>
    </row>
    <row r="3" spans="1:26">
      <c r="C3" s="34"/>
      <c r="D3" s="36"/>
      <c r="E3" s="34"/>
      <c r="F3" s="34"/>
      <c r="G3" s="34"/>
      <c r="H3" s="34"/>
      <c r="I3" s="34"/>
      <c r="J3" s="36"/>
      <c r="K3" s="36"/>
      <c r="L3" s="36"/>
      <c r="M3" s="36"/>
      <c r="N3" s="36"/>
      <c r="O3" s="36"/>
      <c r="P3" s="36"/>
      <c r="Q3" s="36"/>
      <c r="R3" s="36"/>
      <c r="S3" s="36"/>
      <c r="T3" s="36"/>
      <c r="U3" s="36"/>
      <c r="V3" s="36"/>
      <c r="W3" s="36"/>
      <c r="X3" s="36"/>
      <c r="Y3" s="36"/>
      <c r="Z3" s="36"/>
    </row>
    <row r="4" spans="1:26" s="4" customFormat="1">
      <c r="C4" s="90" t="s">
        <v>186</v>
      </c>
      <c r="D4" s="230">
        <v>2.5000000000000001E-2</v>
      </c>
      <c r="E4" s="90" t="s">
        <v>183</v>
      </c>
      <c r="F4" s="227">
        <f>Prisjustering-Norges_Banks_inflasjonsmål</f>
        <v>0</v>
      </c>
      <c r="G4" s="34"/>
      <c r="H4" s="34"/>
      <c r="I4" s="34"/>
      <c r="J4" s="48"/>
      <c r="K4" s="48"/>
      <c r="L4" s="48"/>
      <c r="M4" s="48"/>
      <c r="N4" s="48"/>
      <c r="O4" s="48"/>
      <c r="P4" s="48"/>
      <c r="Q4" s="48"/>
      <c r="R4" s="48"/>
      <c r="S4" s="48"/>
      <c r="T4" s="48"/>
      <c r="U4" s="48"/>
      <c r="V4" s="48"/>
      <c r="W4" s="48"/>
      <c r="X4" s="48"/>
      <c r="Y4" s="48"/>
      <c r="Z4" s="48"/>
    </row>
    <row r="5" spans="1:26">
      <c r="C5" s="34"/>
      <c r="D5" s="36"/>
      <c r="E5" s="36"/>
      <c r="F5" s="36"/>
      <c r="G5" s="36"/>
      <c r="H5" s="36"/>
      <c r="I5" s="36"/>
      <c r="J5" s="36"/>
      <c r="K5" s="36"/>
      <c r="L5" s="36"/>
      <c r="M5" s="36"/>
      <c r="N5" s="36"/>
      <c r="O5" s="36"/>
      <c r="P5" s="36"/>
      <c r="Q5" s="36"/>
      <c r="R5" s="36"/>
      <c r="S5" s="36"/>
      <c r="T5" s="36"/>
      <c r="U5" s="36"/>
      <c r="V5" s="36"/>
      <c r="W5" s="36"/>
      <c r="X5" s="36"/>
      <c r="Y5" s="36"/>
      <c r="Z5" s="36"/>
    </row>
    <row r="6" spans="1:26">
      <c r="C6" s="34"/>
      <c r="D6" s="31"/>
      <c r="E6" s="31"/>
      <c r="F6" s="31"/>
      <c r="G6" s="31"/>
      <c r="H6" s="158" t="s">
        <v>1</v>
      </c>
      <c r="I6" s="159" t="s">
        <v>2</v>
      </c>
      <c r="J6" s="159" t="s">
        <v>3</v>
      </c>
      <c r="K6" s="159" t="s">
        <v>10</v>
      </c>
      <c r="L6" s="159" t="s">
        <v>12</v>
      </c>
      <c r="M6" s="159" t="s">
        <v>118</v>
      </c>
      <c r="N6" s="159" t="s">
        <v>119</v>
      </c>
      <c r="O6" s="36"/>
      <c r="P6" s="36"/>
      <c r="Q6" s="36"/>
      <c r="R6" s="36"/>
      <c r="S6" s="36"/>
      <c r="T6" s="36"/>
      <c r="U6" s="36"/>
      <c r="V6" s="36"/>
      <c r="W6" s="36"/>
      <c r="X6" s="36"/>
      <c r="Y6" s="36"/>
      <c r="Z6" s="36"/>
    </row>
    <row r="7" spans="1:26" s="4" customFormat="1" ht="26.1" customHeight="1">
      <c r="C7" s="90" t="s">
        <v>6</v>
      </c>
      <c r="D7" s="90" t="s">
        <v>5</v>
      </c>
      <c r="E7" s="90" t="s">
        <v>0</v>
      </c>
      <c r="F7" s="199" t="s">
        <v>166</v>
      </c>
      <c r="G7" s="90" t="str">
        <f>+'Planlegging og Evaluering'!B10</f>
        <v>Innkjøpers plan</v>
      </c>
      <c r="H7" s="90" t="str">
        <f>+'Tilbud 1'!C5</f>
        <v>Ford Focus Electric</v>
      </c>
      <c r="I7" s="90" t="str">
        <f>+'Tilbud 2'!C5</f>
        <v>Opel Ampera-e</v>
      </c>
      <c r="J7" s="90" t="str">
        <f>+'Tilbud 3'!C5</f>
        <v>Nissan Leaf</v>
      </c>
      <c r="K7" s="90" t="str">
        <f>+'Tilbud 4'!C5</f>
        <v>Renault Zoe R90 Z.E. 40</v>
      </c>
      <c r="L7" s="90" t="str">
        <f>+'Tilbud 5'!C5</f>
        <v>BMW i3 (22 og 33 kWh)</v>
      </c>
      <c r="M7" s="90" t="str">
        <f>+'Tilbud 6'!C5</f>
        <v>&lt;Fyll inn navn på firma her&gt;</v>
      </c>
      <c r="N7" s="90" t="str">
        <f>+'Tilbud 7'!C5</f>
        <v>&lt;Fyll inn navn på firma her&gt;</v>
      </c>
      <c r="O7" s="48"/>
      <c r="P7" s="48"/>
      <c r="Q7" s="48"/>
      <c r="R7" s="48"/>
      <c r="S7" s="48"/>
      <c r="T7" s="48"/>
      <c r="U7" s="48"/>
      <c r="V7" s="48"/>
      <c r="W7" s="48"/>
      <c r="X7" s="48"/>
      <c r="Y7" s="48"/>
      <c r="Z7" s="48"/>
    </row>
    <row r="8" spans="1:26" ht="13.35" customHeight="1">
      <c r="C8" s="114"/>
      <c r="D8" s="111"/>
      <c r="E8" s="111"/>
      <c r="F8" s="111"/>
      <c r="G8" s="111"/>
      <c r="H8" s="111"/>
      <c r="I8" s="111"/>
      <c r="J8" s="111"/>
      <c r="K8" s="111"/>
      <c r="L8" s="111"/>
      <c r="M8" s="111"/>
      <c r="N8" s="111"/>
      <c r="O8" s="36"/>
      <c r="P8" s="36"/>
      <c r="Q8" s="36"/>
      <c r="R8" s="36"/>
      <c r="S8" s="36"/>
      <c r="T8" s="36"/>
      <c r="U8" s="36"/>
      <c r="V8" s="36"/>
      <c r="W8" s="36"/>
      <c r="X8" s="36"/>
      <c r="Y8" s="36"/>
      <c r="Z8" s="36"/>
    </row>
    <row r="9" spans="1:26" s="3" customFormat="1">
      <c r="C9" s="128" t="str">
        <f>+'Planlegging og Evaluering'!B12</f>
        <v>Investeringskost 1</v>
      </c>
      <c r="D9" s="128" t="str">
        <f>+'Planlegging og Evaluering'!C12</f>
        <v>Bil med sommer og vinterdekk</v>
      </c>
      <c r="E9" s="129">
        <f>+'Planlegging og Evaluering'!F12</f>
        <v>5</v>
      </c>
      <c r="F9" s="112">
        <f>+'Planlegging og Evaluering'!G12</f>
        <v>250000</v>
      </c>
      <c r="G9" s="112">
        <f>+'Planlegging og Evaluering'!H12</f>
        <v>1250000</v>
      </c>
      <c r="H9" s="112">
        <f>'Tilbud 1'!F13</f>
        <v>1295000</v>
      </c>
      <c r="I9" s="112">
        <f>'Tilbud 2'!F13</f>
        <v>1449500</v>
      </c>
      <c r="J9" s="112">
        <f>'Tilbud 3'!F13</f>
        <v>1024950</v>
      </c>
      <c r="K9" s="112">
        <f>'Tilbud 4'!F13</f>
        <v>1147000</v>
      </c>
      <c r="L9" s="112">
        <f>'Tilbud 5'!F13</f>
        <v>1780000</v>
      </c>
      <c r="M9" s="112">
        <f>+'Tilbud 6'!F13</f>
        <v>0</v>
      </c>
      <c r="N9" s="112">
        <f>+'Tilbud 7'!F13</f>
        <v>0</v>
      </c>
      <c r="O9" s="31"/>
      <c r="P9" s="31"/>
      <c r="Q9" s="31"/>
      <c r="R9" s="31"/>
      <c r="S9" s="31"/>
      <c r="T9" s="31"/>
      <c r="U9" s="31"/>
      <c r="V9" s="31"/>
      <c r="W9" s="31"/>
      <c r="X9" s="31"/>
      <c r="Y9" s="31"/>
      <c r="Z9" s="31"/>
    </row>
    <row r="10" spans="1:26" s="3" customFormat="1">
      <c r="C10" s="128" t="str">
        <f>+'Planlegging og Evaluering'!B13</f>
        <v>Investeringskost 2</v>
      </c>
      <c r="D10" s="128" t="str">
        <f>+'Planlegging og Evaluering'!C13</f>
        <v>Ekstrautstyr: automatgir og ryggesensor</v>
      </c>
      <c r="E10" s="129">
        <f>+'Planlegging og Evaluering'!F13</f>
        <v>5</v>
      </c>
      <c r="F10" s="112">
        <f>+'Planlegging og Evaluering'!G13</f>
        <v>15000</v>
      </c>
      <c r="G10" s="112">
        <f>+'Planlegging og Evaluering'!H13</f>
        <v>75000</v>
      </c>
      <c r="H10" s="112">
        <f>'Tilbud 1'!F14</f>
        <v>0</v>
      </c>
      <c r="I10" s="112">
        <f>+'Tilbud 2'!F14</f>
        <v>0</v>
      </c>
      <c r="J10" s="112">
        <f>+'Tilbud 3'!F14</f>
        <v>0</v>
      </c>
      <c r="K10" s="112">
        <f>'Tilbud 4'!F14</f>
        <v>0</v>
      </c>
      <c r="L10" s="112">
        <f>'Tilbud 5'!F14</f>
        <v>0</v>
      </c>
      <c r="M10" s="112">
        <f>+'Tilbud 6'!F14</f>
        <v>0</v>
      </c>
      <c r="N10" s="112">
        <f>+'Tilbud 7'!F14</f>
        <v>0</v>
      </c>
      <c r="O10" s="31"/>
      <c r="P10" s="31"/>
      <c r="Q10" s="31"/>
      <c r="R10" s="31"/>
      <c r="S10" s="31"/>
      <c r="T10" s="31"/>
      <c r="U10" s="31"/>
      <c r="V10" s="31"/>
      <c r="W10" s="31"/>
      <c r="X10" s="31"/>
      <c r="Y10" s="31"/>
      <c r="Z10" s="31"/>
    </row>
    <row r="11" spans="1:26" s="3" customFormat="1">
      <c r="C11" s="128" t="str">
        <f>+'Planlegging og Evaluering'!B14</f>
        <v>Investeringskost 3</v>
      </c>
      <c r="D11" s="130" t="str">
        <f>+'Planlegging og Evaluering'!C14</f>
        <v>Andre investeringskostnader</v>
      </c>
      <c r="E11" s="129">
        <f>+'Planlegging og Evaluering'!F14</f>
        <v>0</v>
      </c>
      <c r="F11" s="112">
        <f>+'Planlegging og Evaluering'!G14</f>
        <v>0</v>
      </c>
      <c r="G11" s="112">
        <f>+'Planlegging og Evaluering'!H14</f>
        <v>0</v>
      </c>
      <c r="H11" s="112">
        <f>'Tilbud 1'!F15</f>
        <v>0</v>
      </c>
      <c r="I11" s="112">
        <f>+'Tilbud 2'!F15</f>
        <v>0</v>
      </c>
      <c r="J11" s="112">
        <f>+'Tilbud 3'!F15</f>
        <v>188960.35345481391</v>
      </c>
      <c r="K11" s="112">
        <f>'Tilbud 4'!F15</f>
        <v>0</v>
      </c>
      <c r="L11" s="112">
        <f>'Tilbud 5'!F15</f>
        <v>0</v>
      </c>
      <c r="M11" s="112">
        <f>+'Tilbud 6'!F15</f>
        <v>0</v>
      </c>
      <c r="N11" s="112">
        <f>+'Tilbud 7'!F15</f>
        <v>0</v>
      </c>
      <c r="O11" s="31"/>
      <c r="P11" s="31"/>
      <c r="Q11" s="31"/>
      <c r="R11" s="31"/>
      <c r="S11" s="31"/>
      <c r="T11" s="31"/>
      <c r="U11" s="31"/>
      <c r="V11" s="31"/>
      <c r="W11" s="31"/>
      <c r="X11" s="31"/>
      <c r="Y11" s="31"/>
      <c r="Z11" s="31"/>
    </row>
    <row r="12" spans="1:26" s="3" customFormat="1">
      <c r="C12" s="131" t="str">
        <f>+'Planlegging og Evaluering'!B15</f>
        <v>Sum investeringskost</v>
      </c>
      <c r="D12" s="132"/>
      <c r="E12" s="102"/>
      <c r="F12" s="133"/>
      <c r="G12" s="134">
        <f t="shared" ref="G12:N12" si="0">SUM(G9:G11)</f>
        <v>1325000</v>
      </c>
      <c r="H12" s="134">
        <f t="shared" si="0"/>
        <v>1295000</v>
      </c>
      <c r="I12" s="134">
        <f t="shared" si="0"/>
        <v>1449500</v>
      </c>
      <c r="J12" s="134">
        <f t="shared" si="0"/>
        <v>1213910.3534548138</v>
      </c>
      <c r="K12" s="134">
        <f t="shared" si="0"/>
        <v>1147000</v>
      </c>
      <c r="L12" s="134">
        <f t="shared" si="0"/>
        <v>1780000</v>
      </c>
      <c r="M12" s="134">
        <f t="shared" si="0"/>
        <v>0</v>
      </c>
      <c r="N12" s="134">
        <f t="shared" si="0"/>
        <v>0</v>
      </c>
      <c r="O12" s="31"/>
      <c r="P12" s="31"/>
      <c r="Q12" s="31"/>
      <c r="R12" s="31"/>
      <c r="S12" s="31"/>
      <c r="T12" s="31"/>
      <c r="U12" s="31"/>
      <c r="V12" s="31"/>
      <c r="W12" s="31"/>
      <c r="X12" s="31"/>
      <c r="Y12" s="31"/>
      <c r="Z12" s="31"/>
    </row>
    <row r="13" spans="1:26" s="3" customFormat="1">
      <c r="C13" s="128"/>
      <c r="D13" s="135"/>
      <c r="E13" s="104"/>
      <c r="F13" s="99"/>
      <c r="G13" s="104"/>
      <c r="H13" s="104"/>
      <c r="I13" s="104"/>
      <c r="J13" s="104"/>
      <c r="K13" s="104"/>
      <c r="L13" s="104"/>
      <c r="M13" s="104"/>
      <c r="N13" s="104"/>
      <c r="O13" s="31"/>
      <c r="P13" s="31"/>
      <c r="Q13" s="31"/>
      <c r="R13" s="31"/>
      <c r="S13" s="31"/>
      <c r="T13" s="31"/>
      <c r="U13" s="31"/>
      <c r="V13" s="31"/>
      <c r="W13" s="31"/>
      <c r="X13" s="31"/>
      <c r="Y13" s="31"/>
      <c r="Z13" s="31"/>
    </row>
    <row r="14" spans="1:26" s="3" customFormat="1">
      <c r="C14" s="128" t="str">
        <f>+'Planlegging og Evaluering'!B17</f>
        <v>Driftsutgift 1 (per år)</v>
      </c>
      <c r="D14" s="128" t="str">
        <f>+'Planlegging og Evaluering'!C17</f>
        <v>Forsikring</v>
      </c>
      <c r="E14" s="129">
        <f>+'Planlegging og Evaluering'!F17</f>
        <v>5</v>
      </c>
      <c r="F14" s="112">
        <f>+'Planlegging og Evaluering'!G17</f>
        <v>8000</v>
      </c>
      <c r="G14" s="112">
        <f>+'Planlegging og Evaluering'!H17</f>
        <v>40000</v>
      </c>
      <c r="H14" s="112">
        <f>'Tilbud 1'!F18</f>
        <v>16964.5</v>
      </c>
      <c r="I14" s="112">
        <f>+'Tilbud 2'!F18</f>
        <v>18988.45</v>
      </c>
      <c r="J14" s="112">
        <f>+'Tilbud 3'!F18</f>
        <v>0</v>
      </c>
      <c r="K14" s="112">
        <f>'Tilbud 4'!F18</f>
        <v>15000</v>
      </c>
      <c r="L14" s="112">
        <f>'Tilbud 5'!F18</f>
        <v>23318</v>
      </c>
      <c r="M14" s="112">
        <f>+'Tilbud 6'!F18</f>
        <v>0</v>
      </c>
      <c r="N14" s="112">
        <f>+'Tilbud 7'!F18</f>
        <v>0</v>
      </c>
      <c r="O14" s="31"/>
      <c r="P14" s="31"/>
      <c r="Q14" s="31"/>
      <c r="R14" s="31"/>
      <c r="S14" s="31"/>
      <c r="T14" s="31"/>
      <c r="U14" s="31"/>
      <c r="V14" s="31"/>
      <c r="W14" s="31"/>
      <c r="X14" s="31"/>
      <c r="Y14" s="31"/>
      <c r="Z14" s="31"/>
    </row>
    <row r="15" spans="1:26" s="3" customFormat="1">
      <c r="C15" s="128" t="str">
        <f>+'Planlegging og Evaluering'!B18</f>
        <v>Driftsutgift 2 (per år)</v>
      </c>
      <c r="D15" s="128" t="str">
        <f>+'Planlegging og Evaluering'!C18</f>
        <v>Reparasjon og vedlikehold</v>
      </c>
      <c r="E15" s="129">
        <f>+'Planlegging og Evaluering'!F18</f>
        <v>5</v>
      </c>
      <c r="F15" s="112">
        <f>+'Planlegging og Evaluering'!G18</f>
        <v>7500</v>
      </c>
      <c r="G15" s="112">
        <f>+'Planlegging og Evaluering'!H18</f>
        <v>37500</v>
      </c>
      <c r="H15" s="112">
        <f>'Tilbud 1'!F19</f>
        <v>22015</v>
      </c>
      <c r="I15" s="112">
        <f>+'Tilbud 2'!F19</f>
        <v>24641.5</v>
      </c>
      <c r="J15" s="112">
        <f>+'Tilbud 3'!F19</f>
        <v>0</v>
      </c>
      <c r="K15" s="112">
        <f>'Tilbud 4'!F19</f>
        <v>19499</v>
      </c>
      <c r="L15" s="112">
        <f>'Tilbud 5'!F19</f>
        <v>30260</v>
      </c>
      <c r="M15" s="112">
        <f>+'Tilbud 6'!F19</f>
        <v>0</v>
      </c>
      <c r="N15" s="112">
        <f>+'Tilbud 7'!F19</f>
        <v>0</v>
      </c>
      <c r="O15" s="31"/>
      <c r="P15" s="31"/>
      <c r="Q15" s="31"/>
      <c r="R15" s="31"/>
      <c r="S15" s="31"/>
      <c r="T15" s="31"/>
      <c r="U15" s="31"/>
      <c r="V15" s="31"/>
      <c r="W15" s="31"/>
      <c r="X15" s="31"/>
      <c r="Y15" s="31"/>
      <c r="Z15" s="31"/>
    </row>
    <row r="16" spans="1:26" s="3" customFormat="1">
      <c r="C16" s="128" t="str">
        <f>+'Planlegging og Evaluering'!B19</f>
        <v>Driftsutgift 3 (per år)</v>
      </c>
      <c r="D16" s="128" t="str">
        <f>+'Planlegging og Evaluering'!C19</f>
        <v>Forbruk (kjørelengde 1 400 mil årlig forbruk fra spekk/test)</v>
      </c>
      <c r="E16" s="129">
        <f>+'Planlegging og Evaluering'!F19</f>
        <v>17500</v>
      </c>
      <c r="F16" s="112">
        <f>+'Planlegging og Evaluering'!G19</f>
        <v>0.96</v>
      </c>
      <c r="G16" s="112">
        <f>+'Planlegging og Evaluering'!H19</f>
        <v>16800</v>
      </c>
      <c r="H16" s="112">
        <f>'Tilbud 1'!F20</f>
        <v>8131.2</v>
      </c>
      <c r="I16" s="112">
        <f>+'Tilbud 2'!F20</f>
        <v>10483.199999999999</v>
      </c>
      <c r="J16" s="112">
        <f>+'Tilbud 3'!F20</f>
        <v>10080</v>
      </c>
      <c r="K16" s="112">
        <f>'Tilbud 4'!F20</f>
        <v>8937.6</v>
      </c>
      <c r="L16" s="112">
        <f>'Tilbud 5'!F20</f>
        <v>8668.7999999999993</v>
      </c>
      <c r="M16" s="112">
        <f>+'Tilbud 6'!F20</f>
        <v>0</v>
      </c>
      <c r="N16" s="112">
        <f>+'Tilbud 7'!F20</f>
        <v>0</v>
      </c>
      <c r="O16" s="31"/>
      <c r="P16" s="31"/>
      <c r="Q16" s="31"/>
      <c r="R16" s="31"/>
      <c r="S16" s="31"/>
      <c r="T16" s="31"/>
      <c r="U16" s="31"/>
      <c r="V16" s="31"/>
      <c r="W16" s="31"/>
      <c r="X16" s="31"/>
      <c r="Y16" s="31"/>
      <c r="Z16" s="31"/>
    </row>
    <row r="17" spans="3:28" s="3" customFormat="1">
      <c r="C17" s="128" t="str">
        <f>+'Planlegging og Evaluering'!B20</f>
        <v>Driftsutgift 4 (per år)</v>
      </c>
      <c r="D17" s="128" t="str">
        <f>+'Planlegging og Evaluering'!C20</f>
        <v>Årsavgift</v>
      </c>
      <c r="E17" s="129">
        <f>+'Planlegging og Evaluering'!F20</f>
        <v>5</v>
      </c>
      <c r="F17" s="112">
        <f>+'Planlegging og Evaluering'!G20</f>
        <v>455</v>
      </c>
      <c r="G17" s="112">
        <f>+'Planlegging og Evaluering'!H20</f>
        <v>2275</v>
      </c>
      <c r="H17" s="112">
        <f>'Tilbud 1'!F21</f>
        <v>2275</v>
      </c>
      <c r="I17" s="112">
        <f>+'Tilbud 2'!F21</f>
        <v>2275</v>
      </c>
      <c r="J17" s="112">
        <f>+'Tilbud 3'!F21</f>
        <v>0</v>
      </c>
      <c r="K17" s="112">
        <f>'Tilbud 4'!F21</f>
        <v>2275</v>
      </c>
      <c r="L17" s="112">
        <f>'Tilbud 5'!F21</f>
        <v>2275</v>
      </c>
      <c r="M17" s="112">
        <f>+'Tilbud 6'!F21</f>
        <v>0</v>
      </c>
      <c r="N17" s="112">
        <f>+'Tilbud 7'!F21</f>
        <v>0</v>
      </c>
      <c r="O17" s="31"/>
      <c r="P17" s="31"/>
      <c r="Q17" s="31"/>
      <c r="R17" s="31"/>
      <c r="S17" s="31"/>
      <c r="T17" s="31"/>
      <c r="U17" s="31"/>
      <c r="V17" s="31"/>
      <c r="W17" s="31"/>
      <c r="X17" s="31"/>
      <c r="Y17" s="31"/>
      <c r="Z17" s="31"/>
    </row>
    <row r="18" spans="3:28" s="3" customFormat="1">
      <c r="C18" s="128" t="str">
        <f>+'Planlegging og Evaluering'!B21</f>
        <v>Driftsutgift 5 (per år)</v>
      </c>
      <c r="D18" s="128" t="str">
        <f>+'Planlegging og Evaluering'!C21</f>
        <v>Andre driftskostnader</v>
      </c>
      <c r="E18" s="129">
        <f>+'Planlegging og Evaluering'!F21</f>
        <v>5</v>
      </c>
      <c r="F18" s="112">
        <f>+'Planlegging og Evaluering'!G21</f>
        <v>0</v>
      </c>
      <c r="G18" s="112">
        <f>+'Planlegging og Evaluering'!H21</f>
        <v>0</v>
      </c>
      <c r="H18" s="112">
        <f>'Tilbud 1'!F22</f>
        <v>0</v>
      </c>
      <c r="I18" s="112">
        <f>+'Tilbud 2'!F22</f>
        <v>0</v>
      </c>
      <c r="J18" s="112">
        <f>+'Tilbud 3'!F22</f>
        <v>0</v>
      </c>
      <c r="K18" s="112">
        <f>'Tilbud 4'!F22</f>
        <v>0</v>
      </c>
      <c r="L18" s="112">
        <f>'Tilbud 5'!F22</f>
        <v>0</v>
      </c>
      <c r="M18" s="112">
        <f>+'Tilbud 6'!F22</f>
        <v>0</v>
      </c>
      <c r="N18" s="112">
        <f>+'Tilbud 7'!F22</f>
        <v>0</v>
      </c>
      <c r="O18" s="31"/>
      <c r="P18" s="31"/>
      <c r="Q18" s="31"/>
      <c r="R18" s="31"/>
      <c r="S18" s="31"/>
      <c r="T18" s="31"/>
      <c r="U18" s="31"/>
      <c r="V18" s="31"/>
      <c r="W18" s="31"/>
      <c r="X18" s="31"/>
      <c r="Y18" s="31"/>
      <c r="Z18" s="31"/>
    </row>
    <row r="19" spans="3:28" s="3" customFormat="1">
      <c r="C19" s="131" t="str">
        <f>+'Planlegging og Evaluering'!B22</f>
        <v>Sum driftsutgifter</v>
      </c>
      <c r="D19" s="132"/>
      <c r="E19" s="102"/>
      <c r="F19" s="133"/>
      <c r="G19" s="134">
        <f t="shared" ref="G19:N19" si="1">SUM(G14:G18)</f>
        <v>96575</v>
      </c>
      <c r="H19" s="134">
        <f t="shared" si="1"/>
        <v>49385.7</v>
      </c>
      <c r="I19" s="134">
        <f t="shared" si="1"/>
        <v>56388.149999999994</v>
      </c>
      <c r="J19" s="134">
        <f t="shared" si="1"/>
        <v>10080</v>
      </c>
      <c r="K19" s="134">
        <f t="shared" si="1"/>
        <v>45711.6</v>
      </c>
      <c r="L19" s="134">
        <f t="shared" si="1"/>
        <v>64521.8</v>
      </c>
      <c r="M19" s="134">
        <f t="shared" si="1"/>
        <v>0</v>
      </c>
      <c r="N19" s="134">
        <f t="shared" si="1"/>
        <v>0</v>
      </c>
      <c r="O19" s="31"/>
      <c r="P19" s="31"/>
      <c r="Q19" s="31"/>
      <c r="R19" s="31"/>
      <c r="S19" s="31"/>
      <c r="T19" s="31"/>
      <c r="U19" s="31"/>
      <c r="V19" s="31"/>
      <c r="W19" s="31"/>
      <c r="X19" s="31"/>
      <c r="Y19" s="31"/>
      <c r="Z19" s="31"/>
    </row>
    <row r="20" spans="3:28" s="3" customFormat="1">
      <c r="C20" s="101"/>
      <c r="D20" s="102"/>
      <c r="E20" s="102"/>
      <c r="F20" s="133"/>
      <c r="G20" s="133"/>
      <c r="H20" s="134"/>
      <c r="I20" s="133"/>
      <c r="J20" s="133"/>
      <c r="K20" s="133"/>
      <c r="L20" s="133"/>
      <c r="M20" s="133"/>
      <c r="N20" s="133"/>
      <c r="O20" s="31"/>
      <c r="P20" s="31"/>
      <c r="Q20" s="31"/>
      <c r="R20" s="31"/>
      <c r="S20" s="31"/>
      <c r="T20" s="31"/>
      <c r="U20" s="31"/>
      <c r="V20" s="31"/>
      <c r="W20" s="31"/>
      <c r="X20" s="31"/>
      <c r="Y20" s="31"/>
      <c r="Z20" s="31"/>
    </row>
    <row r="21" spans="3:28" s="3" customFormat="1">
      <c r="C21" s="131" t="str">
        <f>+'Planlegging og Evaluering'!B24</f>
        <v>Avhendingskostnader/restverdier</v>
      </c>
      <c r="D21" s="131" t="str">
        <f>+'Planlegging og Evaluering'!C24</f>
        <v>Avhendingsutgifter - salgsinntekter</v>
      </c>
      <c r="E21" s="131">
        <f>+'Planlegging og Evaluering'!F24</f>
        <v>5</v>
      </c>
      <c r="F21" s="131">
        <f>+'Planlegging og Evaluering'!G24</f>
        <v>-41666.666666666664</v>
      </c>
      <c r="G21" s="131">
        <f>+'Planlegging og Evaluering'!H24</f>
        <v>-208333.33333333331</v>
      </c>
      <c r="H21" s="134">
        <f>'Tilbud 1'!$F$25</f>
        <v>-215833.33333333331</v>
      </c>
      <c r="I21" s="134">
        <f>+'Tilbud 2'!F25</f>
        <v>-241583.33333333331</v>
      </c>
      <c r="J21" s="134">
        <f>+'Tilbud 3'!F25</f>
        <v>-170825</v>
      </c>
      <c r="K21" s="134">
        <f>+'Tilbud 4'!F25</f>
        <v>-191166.66666666669</v>
      </c>
      <c r="L21" s="134">
        <f>+'Tilbud 5'!F25</f>
        <v>-296666.66666666669</v>
      </c>
      <c r="M21" s="134">
        <f>+'Tilbud 6'!F25</f>
        <v>0</v>
      </c>
      <c r="N21" s="134">
        <f>+'Tilbud 7'!F25</f>
        <v>0</v>
      </c>
      <c r="O21" s="31"/>
      <c r="P21" s="31"/>
      <c r="Q21" s="31"/>
      <c r="R21" s="31"/>
      <c r="S21" s="31"/>
      <c r="T21" s="31"/>
      <c r="U21" s="31"/>
      <c r="V21" s="31"/>
      <c r="W21" s="31"/>
      <c r="X21" s="31"/>
      <c r="Y21" s="31"/>
      <c r="Z21" s="31"/>
    </row>
    <row r="22" spans="3:28">
      <c r="C22" s="114"/>
      <c r="D22" s="111"/>
      <c r="E22" s="111"/>
      <c r="F22" s="111"/>
      <c r="G22" s="111"/>
      <c r="H22" s="111"/>
      <c r="I22" s="111"/>
      <c r="J22" s="111"/>
      <c r="K22" s="111"/>
      <c r="L22" s="111"/>
      <c r="M22" s="111"/>
      <c r="N22" s="111"/>
      <c r="O22" s="36"/>
      <c r="P22" s="36"/>
      <c r="Q22" s="36"/>
      <c r="R22" s="36"/>
      <c r="S22" s="36"/>
      <c r="T22" s="36"/>
      <c r="U22" s="36"/>
      <c r="V22" s="36"/>
      <c r="W22" s="36"/>
      <c r="X22" s="36"/>
      <c r="Y22" s="36"/>
      <c r="Z22" s="36"/>
    </row>
    <row r="23" spans="3:28">
      <c r="C23" s="114" t="s">
        <v>88</v>
      </c>
      <c r="D23" s="111"/>
      <c r="E23" s="136">
        <f>1/((1+Kalkulsjonsrente)^E25)</f>
        <v>1</v>
      </c>
      <c r="F23" s="136">
        <f>1/((1+Kalkulsjonsrente)^F25)</f>
        <v>0.96153846153846145</v>
      </c>
      <c r="G23" s="136">
        <f t="shared" ref="G23:Y23" si="2">1/((1+Kalkulsjonsrente)^G25)</f>
        <v>0.92455621301775137</v>
      </c>
      <c r="H23" s="136">
        <f t="shared" si="2"/>
        <v>0.88899635867091487</v>
      </c>
      <c r="I23" s="136">
        <f t="shared" si="2"/>
        <v>0.85480419102972571</v>
      </c>
      <c r="J23" s="136">
        <f>1/((1+Kalkulsjonsrente)^J25)</f>
        <v>0.82192710675935154</v>
      </c>
      <c r="K23" s="136">
        <f t="shared" si="2"/>
        <v>0.79031452573014571</v>
      </c>
      <c r="L23" s="136">
        <f t="shared" si="2"/>
        <v>0.75991781320206331</v>
      </c>
      <c r="M23" s="136">
        <f t="shared" si="2"/>
        <v>0.73069020500198378</v>
      </c>
      <c r="N23" s="136">
        <f t="shared" si="2"/>
        <v>0.70258673557883045</v>
      </c>
      <c r="O23" s="136">
        <f t="shared" si="2"/>
        <v>0.67556416882579851</v>
      </c>
      <c r="P23" s="136">
        <f t="shared" si="2"/>
        <v>0.6495809315632679</v>
      </c>
      <c r="Q23" s="136">
        <f t="shared" si="2"/>
        <v>0.62459704958006512</v>
      </c>
      <c r="R23" s="136">
        <f t="shared" si="2"/>
        <v>0.600574086134678</v>
      </c>
      <c r="S23" s="136">
        <f t="shared" si="2"/>
        <v>0.57747508282180582</v>
      </c>
      <c r="T23" s="136">
        <f t="shared" si="2"/>
        <v>0.55526450271327477</v>
      </c>
      <c r="U23" s="136">
        <f t="shared" si="2"/>
        <v>0.53390817568584104</v>
      </c>
      <c r="V23" s="136">
        <f t="shared" si="2"/>
        <v>0.51337324585177024</v>
      </c>
      <c r="W23" s="136">
        <f t="shared" si="2"/>
        <v>0.49362812101131748</v>
      </c>
      <c r="X23" s="136">
        <f t="shared" si="2"/>
        <v>0.47464242404934376</v>
      </c>
      <c r="Y23" s="136">
        <f t="shared" si="2"/>
        <v>0.45638694620129205</v>
      </c>
      <c r="Z23" s="36"/>
    </row>
    <row r="24" spans="3:28">
      <c r="C24" s="34"/>
      <c r="D24" s="36"/>
      <c r="E24" s="36"/>
      <c r="F24" s="36"/>
      <c r="G24" s="36"/>
      <c r="H24" s="36"/>
      <c r="I24" s="36"/>
      <c r="J24" s="36"/>
      <c r="K24" s="36"/>
      <c r="L24" s="36"/>
      <c r="M24" s="36"/>
      <c r="N24" s="36"/>
      <c r="O24" s="36"/>
      <c r="P24" s="36"/>
      <c r="Q24" s="36"/>
      <c r="R24" s="36"/>
      <c r="S24" s="36"/>
      <c r="T24" s="36"/>
      <c r="U24" s="36"/>
      <c r="V24" s="36"/>
      <c r="W24" s="36"/>
      <c r="X24" s="36"/>
      <c r="Y24" s="36"/>
      <c r="Z24" s="36"/>
    </row>
    <row r="25" spans="3:28">
      <c r="C25" s="90" t="s">
        <v>25</v>
      </c>
      <c r="D25" s="90"/>
      <c r="E25" s="90">
        <v>0</v>
      </c>
      <c r="F25" s="90">
        <v>1</v>
      </c>
      <c r="G25" s="90">
        <v>2</v>
      </c>
      <c r="H25" s="90">
        <v>3</v>
      </c>
      <c r="I25" s="90">
        <v>4</v>
      </c>
      <c r="J25" s="90">
        <v>5</v>
      </c>
      <c r="K25" s="90">
        <v>6</v>
      </c>
      <c r="L25" s="90">
        <v>7</v>
      </c>
      <c r="M25" s="90">
        <v>8</v>
      </c>
      <c r="N25" s="90">
        <v>9</v>
      </c>
      <c r="O25" s="90">
        <v>10</v>
      </c>
      <c r="P25" s="90">
        <v>11</v>
      </c>
      <c r="Q25" s="90">
        <v>12</v>
      </c>
      <c r="R25" s="90">
        <v>13</v>
      </c>
      <c r="S25" s="90">
        <v>14</v>
      </c>
      <c r="T25" s="90">
        <v>15</v>
      </c>
      <c r="U25" s="90">
        <v>16</v>
      </c>
      <c r="V25" s="90">
        <v>17</v>
      </c>
      <c r="W25" s="90">
        <v>18</v>
      </c>
      <c r="X25" s="90">
        <v>19</v>
      </c>
      <c r="Y25" s="90">
        <v>20</v>
      </c>
      <c r="Z25" s="36"/>
    </row>
    <row r="26" spans="3:28" ht="5.0999999999999996" customHeight="1">
      <c r="C26" s="34"/>
      <c r="D26" s="36"/>
      <c r="E26" s="36"/>
      <c r="F26" s="36"/>
      <c r="G26" s="36"/>
      <c r="H26" s="36"/>
      <c r="I26" s="36"/>
      <c r="J26" s="36"/>
      <c r="K26" s="36"/>
      <c r="L26" s="36"/>
      <c r="M26" s="36"/>
      <c r="N26" s="36"/>
      <c r="O26" s="36"/>
      <c r="P26" s="36"/>
      <c r="Q26" s="36"/>
      <c r="R26" s="36"/>
      <c r="S26" s="36"/>
      <c r="T26" s="36"/>
      <c r="U26" s="36"/>
      <c r="V26" s="36"/>
      <c r="W26" s="36"/>
      <c r="X26" s="36"/>
      <c r="Y26" s="36"/>
      <c r="Z26" s="36"/>
    </row>
    <row r="27" spans="3:28">
      <c r="C27" s="114" t="s">
        <v>4</v>
      </c>
      <c r="D27" s="111" t="str">
        <f>+C27</f>
        <v>Innkjøpers plan</v>
      </c>
      <c r="E27" s="111">
        <f t="shared" ref="E27:J27" si="3">+E59</f>
        <v>1325000</v>
      </c>
      <c r="F27" s="111">
        <f t="shared" si="3"/>
        <v>92860.576923076922</v>
      </c>
      <c r="G27" s="111">
        <f t="shared" si="3"/>
        <v>89289.016272189343</v>
      </c>
      <c r="H27" s="111">
        <f t="shared" si="3"/>
        <v>85854.823338643604</v>
      </c>
      <c r="I27" s="111">
        <f t="shared" si="3"/>
        <v>82552.714748695755</v>
      </c>
      <c r="J27" s="111">
        <f t="shared" si="3"/>
        <v>79377.610335284364</v>
      </c>
      <c r="K27" s="111">
        <f t="shared" ref="K27:Y27" si="4">+K59</f>
        <v>-88324.234204724853</v>
      </c>
      <c r="L27" s="111">
        <f t="shared" si="4"/>
        <v>0</v>
      </c>
      <c r="M27" s="111">
        <f t="shared" si="4"/>
        <v>0</v>
      </c>
      <c r="N27" s="111">
        <f t="shared" si="4"/>
        <v>0</v>
      </c>
      <c r="O27" s="111">
        <f t="shared" si="4"/>
        <v>0</v>
      </c>
      <c r="P27" s="111">
        <f t="shared" si="4"/>
        <v>0</v>
      </c>
      <c r="Q27" s="111">
        <f t="shared" si="4"/>
        <v>0</v>
      </c>
      <c r="R27" s="111">
        <f t="shared" si="4"/>
        <v>0</v>
      </c>
      <c r="S27" s="111">
        <f t="shared" si="4"/>
        <v>0</v>
      </c>
      <c r="T27" s="111">
        <f t="shared" si="4"/>
        <v>0</v>
      </c>
      <c r="U27" s="111">
        <f t="shared" si="4"/>
        <v>0</v>
      </c>
      <c r="V27" s="111">
        <f t="shared" si="4"/>
        <v>0</v>
      </c>
      <c r="W27" s="111">
        <f t="shared" si="4"/>
        <v>0</v>
      </c>
      <c r="X27" s="111">
        <f t="shared" si="4"/>
        <v>0</v>
      </c>
      <c r="Y27" s="111">
        <f t="shared" si="4"/>
        <v>0</v>
      </c>
      <c r="Z27" s="36">
        <f>IF(SUM(E27:Y27)&gt;0,SUM(E27:Y27),"tom")</f>
        <v>1666610.5074131652</v>
      </c>
      <c r="AA27" s="98" t="str">
        <f t="shared" ref="AA27:AA32" si="5">D27</f>
        <v>Innkjøpers plan</v>
      </c>
      <c r="AB27" s="98">
        <f>MIN(Z27:Z34)</f>
        <v>1131745.6141129651</v>
      </c>
    </row>
    <row r="28" spans="3:28">
      <c r="C28" s="114" t="s">
        <v>1</v>
      </c>
      <c r="D28" s="111" t="str">
        <f>+'Tilbud 1'!C5</f>
        <v>Ford Focus Electric</v>
      </c>
      <c r="E28" s="111">
        <f>+H12*E23</f>
        <v>1295000</v>
      </c>
      <c r="F28" s="111">
        <f>+F75</f>
        <v>47486.249999999993</v>
      </c>
      <c r="G28" s="111">
        <f t="shared" ref="G28:Y28" si="6">+G75</f>
        <v>45659.855769230759</v>
      </c>
      <c r="H28" s="111">
        <f t="shared" si="6"/>
        <v>43903.7074704142</v>
      </c>
      <c r="I28" s="111">
        <f t="shared" si="6"/>
        <v>42215.103336936721</v>
      </c>
      <c r="J28" s="111">
        <f t="shared" si="6"/>
        <v>40591.445516285305</v>
      </c>
      <c r="K28" s="111">
        <f>+K75</f>
        <v>-131545.98239673849</v>
      </c>
      <c r="L28" s="111">
        <f t="shared" si="6"/>
        <v>0</v>
      </c>
      <c r="M28" s="111">
        <f t="shared" si="6"/>
        <v>0</v>
      </c>
      <c r="N28" s="111">
        <f t="shared" si="6"/>
        <v>0</v>
      </c>
      <c r="O28" s="111">
        <f t="shared" si="6"/>
        <v>0</v>
      </c>
      <c r="P28" s="111">
        <f t="shared" si="6"/>
        <v>0</v>
      </c>
      <c r="Q28" s="111">
        <f t="shared" si="6"/>
        <v>0</v>
      </c>
      <c r="R28" s="111">
        <f t="shared" si="6"/>
        <v>0</v>
      </c>
      <c r="S28" s="111">
        <f t="shared" si="6"/>
        <v>0</v>
      </c>
      <c r="T28" s="111">
        <f t="shared" si="6"/>
        <v>0</v>
      </c>
      <c r="U28" s="111">
        <f t="shared" si="6"/>
        <v>0</v>
      </c>
      <c r="V28" s="111">
        <f t="shared" si="6"/>
        <v>0</v>
      </c>
      <c r="W28" s="111">
        <f t="shared" si="6"/>
        <v>0</v>
      </c>
      <c r="X28" s="111">
        <f t="shared" si="6"/>
        <v>0</v>
      </c>
      <c r="Y28" s="111">
        <f t="shared" si="6"/>
        <v>0</v>
      </c>
      <c r="Z28" s="36">
        <f t="shared" ref="Z28:Z34" si="7">IF(SUM(E28:Y28)&gt;0,SUM(E28:Y28),"tom")</f>
        <v>1383310.3796961284</v>
      </c>
      <c r="AA28" s="98" t="str">
        <f t="shared" si="5"/>
        <v>Ford Focus Electric</v>
      </c>
      <c r="AB28" s="157" t="str">
        <f>VLOOKUP(AB27,Z27:AA32,2,FALSE)</f>
        <v>Nissan Leaf</v>
      </c>
    </row>
    <row r="29" spans="3:28">
      <c r="C29" s="114" t="s">
        <v>2</v>
      </c>
      <c r="D29" s="111" t="str">
        <f>+'Tilbud 2'!C5</f>
        <v>Opel Ampera-e</v>
      </c>
      <c r="E29" s="111">
        <f t="shared" ref="E29:Y29" si="8">+E90</f>
        <v>1449500</v>
      </c>
      <c r="F29" s="111">
        <f t="shared" si="8"/>
        <v>54219.374999999993</v>
      </c>
      <c r="G29" s="111">
        <f t="shared" si="8"/>
        <v>52134.014423076915</v>
      </c>
      <c r="H29" s="111">
        <f t="shared" si="8"/>
        <v>50128.860022189343</v>
      </c>
      <c r="I29" s="111">
        <f t="shared" si="8"/>
        <v>48200.826944412824</v>
      </c>
      <c r="J29" s="111">
        <f t="shared" si="8"/>
        <v>46346.948985012321</v>
      </c>
      <c r="K29" s="111">
        <f>+K90</f>
        <v>-146362.4434835907</v>
      </c>
      <c r="L29" s="111">
        <f t="shared" si="8"/>
        <v>0</v>
      </c>
      <c r="M29" s="111">
        <f t="shared" si="8"/>
        <v>0</v>
      </c>
      <c r="N29" s="111">
        <f t="shared" si="8"/>
        <v>0</v>
      </c>
      <c r="O29" s="111">
        <f t="shared" si="8"/>
        <v>0</v>
      </c>
      <c r="P29" s="111">
        <f t="shared" si="8"/>
        <v>0</v>
      </c>
      <c r="Q29" s="111">
        <f t="shared" si="8"/>
        <v>0</v>
      </c>
      <c r="R29" s="111">
        <f t="shared" si="8"/>
        <v>0</v>
      </c>
      <c r="S29" s="111">
        <f t="shared" si="8"/>
        <v>0</v>
      </c>
      <c r="T29" s="111">
        <f t="shared" si="8"/>
        <v>0</v>
      </c>
      <c r="U29" s="111">
        <f t="shared" si="8"/>
        <v>0</v>
      </c>
      <c r="V29" s="111">
        <f t="shared" si="8"/>
        <v>0</v>
      </c>
      <c r="W29" s="111">
        <f t="shared" si="8"/>
        <v>0</v>
      </c>
      <c r="X29" s="111">
        <f t="shared" si="8"/>
        <v>0</v>
      </c>
      <c r="Y29" s="111">
        <f t="shared" si="8"/>
        <v>0</v>
      </c>
      <c r="Z29" s="36">
        <f t="shared" si="7"/>
        <v>1554167.5818911009</v>
      </c>
      <c r="AA29" s="98" t="str">
        <f t="shared" si="5"/>
        <v>Opel Ampera-e</v>
      </c>
      <c r="AB29" s="98"/>
    </row>
    <row r="30" spans="3:28">
      <c r="C30" s="114" t="s">
        <v>3</v>
      </c>
      <c r="D30" s="111" t="str">
        <f>+'Tilbud 3'!C5</f>
        <v>Nissan Leaf</v>
      </c>
      <c r="E30" s="111">
        <f>+E105</f>
        <v>1213910.3534548138</v>
      </c>
      <c r="F30" s="111">
        <f t="shared" ref="F30:Y30" si="9">+F105</f>
        <v>9692.3076923076915</v>
      </c>
      <c r="G30" s="111">
        <f t="shared" si="9"/>
        <v>9319.5266272189347</v>
      </c>
      <c r="H30" s="111">
        <f t="shared" si="9"/>
        <v>8961.083295402821</v>
      </c>
      <c r="I30" s="111">
        <f t="shared" si="9"/>
        <v>8616.4262455796361</v>
      </c>
      <c r="J30" s="111">
        <f t="shared" si="9"/>
        <v>8285.0252361342627</v>
      </c>
      <c r="K30" s="111">
        <f t="shared" si="9"/>
        <v>-127039.10843849227</v>
      </c>
      <c r="L30" s="111">
        <f t="shared" si="9"/>
        <v>0</v>
      </c>
      <c r="M30" s="111">
        <f t="shared" si="9"/>
        <v>0</v>
      </c>
      <c r="N30" s="111">
        <f t="shared" si="9"/>
        <v>0</v>
      </c>
      <c r="O30" s="111">
        <f t="shared" si="9"/>
        <v>0</v>
      </c>
      <c r="P30" s="111">
        <f t="shared" si="9"/>
        <v>0</v>
      </c>
      <c r="Q30" s="111">
        <f t="shared" si="9"/>
        <v>0</v>
      </c>
      <c r="R30" s="111">
        <f t="shared" si="9"/>
        <v>0</v>
      </c>
      <c r="S30" s="111">
        <f t="shared" si="9"/>
        <v>0</v>
      </c>
      <c r="T30" s="111">
        <f t="shared" si="9"/>
        <v>0</v>
      </c>
      <c r="U30" s="111">
        <f t="shared" si="9"/>
        <v>0</v>
      </c>
      <c r="V30" s="111">
        <f t="shared" si="9"/>
        <v>0</v>
      </c>
      <c r="W30" s="111">
        <f t="shared" si="9"/>
        <v>0</v>
      </c>
      <c r="X30" s="111">
        <f t="shared" si="9"/>
        <v>0</v>
      </c>
      <c r="Y30" s="111">
        <f t="shared" si="9"/>
        <v>0</v>
      </c>
      <c r="Z30" s="36">
        <f t="shared" si="7"/>
        <v>1131745.6141129651</v>
      </c>
      <c r="AA30" s="98" t="str">
        <f t="shared" si="5"/>
        <v>Nissan Leaf</v>
      </c>
      <c r="AB30" s="98"/>
    </row>
    <row r="31" spans="3:28">
      <c r="C31" s="114" t="s">
        <v>10</v>
      </c>
      <c r="D31" s="111" t="str">
        <f>+'Tilbud 4'!C5</f>
        <v>Renault Zoe R90 Z.E. 40</v>
      </c>
      <c r="E31" s="111">
        <f>+E120</f>
        <v>1147000</v>
      </c>
      <c r="F31" s="111">
        <f t="shared" ref="F31:Y31" si="10">+F120</f>
        <v>43953.461538461532</v>
      </c>
      <c r="G31" s="111">
        <f t="shared" si="10"/>
        <v>42262.943786982243</v>
      </c>
      <c r="H31" s="111">
        <f t="shared" si="10"/>
        <v>40637.445949021392</v>
      </c>
      <c r="I31" s="111">
        <f t="shared" si="10"/>
        <v>39074.467258674405</v>
      </c>
      <c r="J31" s="111">
        <f t="shared" si="10"/>
        <v>37571.603133340774</v>
      </c>
      <c r="K31" s="111">
        <f t="shared" si="10"/>
        <v>-114955.2520277134</v>
      </c>
      <c r="L31" s="111">
        <f t="shared" si="10"/>
        <v>0</v>
      </c>
      <c r="M31" s="111">
        <f t="shared" si="10"/>
        <v>0</v>
      </c>
      <c r="N31" s="111">
        <f t="shared" si="10"/>
        <v>0</v>
      </c>
      <c r="O31" s="111">
        <f t="shared" si="10"/>
        <v>0</v>
      </c>
      <c r="P31" s="111">
        <f t="shared" si="10"/>
        <v>0</v>
      </c>
      <c r="Q31" s="111">
        <f t="shared" si="10"/>
        <v>0</v>
      </c>
      <c r="R31" s="111">
        <f t="shared" si="10"/>
        <v>0</v>
      </c>
      <c r="S31" s="111">
        <f t="shared" si="10"/>
        <v>0</v>
      </c>
      <c r="T31" s="111">
        <f t="shared" si="10"/>
        <v>0</v>
      </c>
      <c r="U31" s="111">
        <f t="shared" si="10"/>
        <v>0</v>
      </c>
      <c r="V31" s="111">
        <f t="shared" si="10"/>
        <v>0</v>
      </c>
      <c r="W31" s="111">
        <f t="shared" si="10"/>
        <v>0</v>
      </c>
      <c r="X31" s="111">
        <f t="shared" si="10"/>
        <v>0</v>
      </c>
      <c r="Y31" s="111">
        <f t="shared" si="10"/>
        <v>0</v>
      </c>
      <c r="Z31" s="36">
        <f t="shared" si="7"/>
        <v>1235544.6696387669</v>
      </c>
      <c r="AA31" s="98" t="str">
        <f t="shared" si="5"/>
        <v>Renault Zoe R90 Z.E. 40</v>
      </c>
      <c r="AB31" s="98"/>
    </row>
    <row r="32" spans="3:28">
      <c r="C32" s="114" t="s">
        <v>12</v>
      </c>
      <c r="D32" s="111" t="str">
        <f>+'Tilbud 5'!C5</f>
        <v>BMW i3 (22 og 33 kWh)</v>
      </c>
      <c r="E32" s="111">
        <f>+E135</f>
        <v>1780000</v>
      </c>
      <c r="F32" s="111">
        <f t="shared" ref="F32:Y32" si="11">+F135</f>
        <v>62040.192307692305</v>
      </c>
      <c r="G32" s="111">
        <f t="shared" si="11"/>
        <v>59654.031065088755</v>
      </c>
      <c r="H32" s="111">
        <f t="shared" si="11"/>
        <v>57359.645254893039</v>
      </c>
      <c r="I32" s="111">
        <f t="shared" si="11"/>
        <v>55153.505052781758</v>
      </c>
      <c r="J32" s="111">
        <f t="shared" si="11"/>
        <v>53032.216396905533</v>
      </c>
      <c r="K32" s="111">
        <f t="shared" si="11"/>
        <v>-183467.4602003546</v>
      </c>
      <c r="L32" s="111">
        <f>+L135</f>
        <v>0</v>
      </c>
      <c r="M32" s="111">
        <f t="shared" si="11"/>
        <v>0</v>
      </c>
      <c r="N32" s="111">
        <f t="shared" si="11"/>
        <v>0</v>
      </c>
      <c r="O32" s="111">
        <f t="shared" si="11"/>
        <v>0</v>
      </c>
      <c r="P32" s="111">
        <f t="shared" si="11"/>
        <v>0</v>
      </c>
      <c r="Q32" s="111">
        <f t="shared" si="11"/>
        <v>0</v>
      </c>
      <c r="R32" s="111">
        <f t="shared" si="11"/>
        <v>0</v>
      </c>
      <c r="S32" s="111">
        <f t="shared" si="11"/>
        <v>0</v>
      </c>
      <c r="T32" s="111">
        <f t="shared" si="11"/>
        <v>0</v>
      </c>
      <c r="U32" s="111">
        <f t="shared" si="11"/>
        <v>0</v>
      </c>
      <c r="V32" s="111">
        <f t="shared" si="11"/>
        <v>0</v>
      </c>
      <c r="W32" s="111">
        <f t="shared" si="11"/>
        <v>0</v>
      </c>
      <c r="X32" s="111">
        <f t="shared" si="11"/>
        <v>0</v>
      </c>
      <c r="Y32" s="111">
        <f t="shared" si="11"/>
        <v>0</v>
      </c>
      <c r="Z32" s="36">
        <f t="shared" si="7"/>
        <v>1883772.1298770064</v>
      </c>
      <c r="AA32" s="98" t="str">
        <f t="shared" si="5"/>
        <v>BMW i3 (22 og 33 kWh)</v>
      </c>
      <c r="AB32" s="98"/>
    </row>
    <row r="33" spans="3:28">
      <c r="C33" s="114" t="s">
        <v>118</v>
      </c>
      <c r="D33" s="111" t="str">
        <f>+M7</f>
        <v>&lt;Fyll inn navn på firma her&gt;</v>
      </c>
      <c r="E33" s="111">
        <f>+E150</f>
        <v>0</v>
      </c>
      <c r="F33" s="111">
        <f t="shared" ref="F33:Y33" si="12">+F150</f>
        <v>0</v>
      </c>
      <c r="G33" s="111">
        <f t="shared" si="12"/>
        <v>0</v>
      </c>
      <c r="H33" s="111">
        <f t="shared" si="12"/>
        <v>0</v>
      </c>
      <c r="I33" s="111">
        <f t="shared" si="12"/>
        <v>0</v>
      </c>
      <c r="J33" s="111">
        <f t="shared" si="12"/>
        <v>0</v>
      </c>
      <c r="K33" s="111">
        <f t="shared" si="12"/>
        <v>0</v>
      </c>
      <c r="L33" s="111">
        <f t="shared" si="12"/>
        <v>0</v>
      </c>
      <c r="M33" s="111">
        <f t="shared" si="12"/>
        <v>0</v>
      </c>
      <c r="N33" s="111">
        <f t="shared" si="12"/>
        <v>0</v>
      </c>
      <c r="O33" s="111">
        <f t="shared" si="12"/>
        <v>0</v>
      </c>
      <c r="P33" s="111">
        <f t="shared" si="12"/>
        <v>0</v>
      </c>
      <c r="Q33" s="111">
        <f t="shared" si="12"/>
        <v>0</v>
      </c>
      <c r="R33" s="111">
        <f t="shared" si="12"/>
        <v>0</v>
      </c>
      <c r="S33" s="111">
        <f t="shared" si="12"/>
        <v>0</v>
      </c>
      <c r="T33" s="111">
        <f t="shared" si="12"/>
        <v>0</v>
      </c>
      <c r="U33" s="111">
        <f t="shared" si="12"/>
        <v>0</v>
      </c>
      <c r="V33" s="111">
        <f t="shared" si="12"/>
        <v>0</v>
      </c>
      <c r="W33" s="111">
        <f t="shared" si="12"/>
        <v>0</v>
      </c>
      <c r="X33" s="111">
        <f t="shared" si="12"/>
        <v>0</v>
      </c>
      <c r="Y33" s="111">
        <f t="shared" si="12"/>
        <v>0</v>
      </c>
      <c r="Z33" s="36" t="str">
        <f t="shared" si="7"/>
        <v>tom</v>
      </c>
      <c r="AA33" s="98" t="str">
        <f>+D33</f>
        <v>&lt;Fyll inn navn på firma her&gt;</v>
      </c>
      <c r="AB33" s="98"/>
    </row>
    <row r="34" spans="3:28">
      <c r="C34" s="114" t="s">
        <v>119</v>
      </c>
      <c r="D34" s="111" t="str">
        <f>+N7</f>
        <v>&lt;Fyll inn navn på firma her&gt;</v>
      </c>
      <c r="E34" s="111">
        <f>+E165</f>
        <v>0</v>
      </c>
      <c r="F34" s="111">
        <f t="shared" ref="F34:Y34" si="13">+F165</f>
        <v>0</v>
      </c>
      <c r="G34" s="111">
        <f t="shared" si="13"/>
        <v>0</v>
      </c>
      <c r="H34" s="111">
        <f t="shared" si="13"/>
        <v>0</v>
      </c>
      <c r="I34" s="111">
        <f t="shared" si="13"/>
        <v>0</v>
      </c>
      <c r="J34" s="111">
        <f t="shared" si="13"/>
        <v>0</v>
      </c>
      <c r="K34" s="111">
        <f t="shared" si="13"/>
        <v>0</v>
      </c>
      <c r="L34" s="111">
        <f t="shared" si="13"/>
        <v>0</v>
      </c>
      <c r="M34" s="111">
        <f t="shared" si="13"/>
        <v>0</v>
      </c>
      <c r="N34" s="111">
        <f t="shared" si="13"/>
        <v>0</v>
      </c>
      <c r="O34" s="111">
        <f t="shared" si="13"/>
        <v>0</v>
      </c>
      <c r="P34" s="111">
        <f t="shared" si="13"/>
        <v>0</v>
      </c>
      <c r="Q34" s="111">
        <f t="shared" si="13"/>
        <v>0</v>
      </c>
      <c r="R34" s="111">
        <f t="shared" si="13"/>
        <v>0</v>
      </c>
      <c r="S34" s="111">
        <f t="shared" si="13"/>
        <v>0</v>
      </c>
      <c r="T34" s="111">
        <f t="shared" si="13"/>
        <v>0</v>
      </c>
      <c r="U34" s="111">
        <f t="shared" si="13"/>
        <v>0</v>
      </c>
      <c r="V34" s="111">
        <f t="shared" si="13"/>
        <v>0</v>
      </c>
      <c r="W34" s="111">
        <f t="shared" si="13"/>
        <v>0</v>
      </c>
      <c r="X34" s="111">
        <f t="shared" si="13"/>
        <v>0</v>
      </c>
      <c r="Y34" s="111">
        <f t="shared" si="13"/>
        <v>0</v>
      </c>
      <c r="Z34" s="36" t="str">
        <f t="shared" si="7"/>
        <v>tom</v>
      </c>
      <c r="AA34" s="98" t="str">
        <f>+D34</f>
        <v>&lt;Fyll inn navn på firma her&gt;</v>
      </c>
      <c r="AB34" s="98"/>
    </row>
    <row r="35" spans="3:28">
      <c r="C35" s="34"/>
      <c r="D35" s="36"/>
      <c r="E35" s="36"/>
      <c r="F35" s="36"/>
      <c r="G35" s="36"/>
      <c r="H35" s="36"/>
      <c r="I35" s="36"/>
      <c r="J35" s="36"/>
      <c r="K35" s="36"/>
      <c r="L35" s="36"/>
      <c r="M35" s="36"/>
      <c r="N35" s="36"/>
      <c r="O35" s="36"/>
      <c r="P35" s="36"/>
      <c r="Q35" s="36"/>
      <c r="R35" s="36"/>
      <c r="S35" s="36"/>
      <c r="T35" s="36"/>
      <c r="U35" s="36"/>
      <c r="V35" s="36"/>
      <c r="W35" s="36"/>
      <c r="X35" s="36"/>
      <c r="Y35" s="36"/>
      <c r="Z35" s="36"/>
    </row>
    <row r="36" spans="3:28">
      <c r="C36" s="91" t="str">
        <f>+G7</f>
        <v>Innkjøpers plan</v>
      </c>
      <c r="D36" s="92" t="s">
        <v>194</v>
      </c>
      <c r="E36" s="156">
        <v>0</v>
      </c>
      <c r="F36" s="150">
        <v>1</v>
      </c>
      <c r="G36" s="150">
        <v>2</v>
      </c>
      <c r="H36" s="150">
        <v>3</v>
      </c>
      <c r="I36" s="150">
        <v>4</v>
      </c>
      <c r="J36" s="150">
        <v>5</v>
      </c>
      <c r="K36" s="150">
        <v>6</v>
      </c>
      <c r="L36" s="150">
        <v>7</v>
      </c>
      <c r="M36" s="150">
        <v>8</v>
      </c>
      <c r="N36" s="150">
        <v>9</v>
      </c>
      <c r="O36" s="150">
        <v>10</v>
      </c>
      <c r="P36" s="150">
        <v>11</v>
      </c>
      <c r="Q36" s="150">
        <v>12</v>
      </c>
      <c r="R36" s="150">
        <v>13</v>
      </c>
      <c r="S36" s="150">
        <v>14</v>
      </c>
      <c r="T36" s="150">
        <v>15</v>
      </c>
      <c r="U36" s="150">
        <v>16</v>
      </c>
      <c r="V36" s="150">
        <v>17</v>
      </c>
      <c r="W36" s="150">
        <v>18</v>
      </c>
      <c r="X36" s="150">
        <v>19</v>
      </c>
      <c r="Y36" s="150">
        <v>20</v>
      </c>
      <c r="Z36" s="151"/>
    </row>
    <row r="37" spans="3:28">
      <c r="C37" s="124" t="str">
        <f t="shared" ref="C37:D39" si="14">+C9</f>
        <v>Investeringskost 1</v>
      </c>
      <c r="D37" s="137" t="str">
        <f t="shared" si="14"/>
        <v>Bil med sommer og vinterdekk</v>
      </c>
      <c r="E37" s="138">
        <f>+G9</f>
        <v>1250000</v>
      </c>
      <c r="F37" s="104"/>
      <c r="G37" s="104"/>
      <c r="H37" s="104"/>
      <c r="I37" s="104"/>
      <c r="J37" s="104"/>
      <c r="K37" s="104"/>
      <c r="L37" s="104"/>
      <c r="M37" s="104"/>
      <c r="N37" s="104"/>
      <c r="O37" s="104"/>
      <c r="P37" s="104"/>
      <c r="Q37" s="104"/>
      <c r="R37" s="104"/>
      <c r="S37" s="104"/>
      <c r="T37" s="104"/>
      <c r="U37" s="104"/>
      <c r="V37" s="104"/>
      <c r="W37" s="104"/>
      <c r="X37" s="104"/>
      <c r="Y37" s="104"/>
      <c r="Z37" s="121"/>
    </row>
    <row r="38" spans="3:28">
      <c r="C38" s="124" t="str">
        <f t="shared" si="14"/>
        <v>Investeringskost 2</v>
      </c>
      <c r="D38" s="137" t="str">
        <f t="shared" si="14"/>
        <v>Ekstrautstyr: automatgir og ryggesensor</v>
      </c>
      <c r="E38" s="138">
        <f>+G10</f>
        <v>75000</v>
      </c>
      <c r="F38" s="104"/>
      <c r="G38" s="104"/>
      <c r="H38" s="104"/>
      <c r="I38" s="104"/>
      <c r="J38" s="104"/>
      <c r="K38" s="104"/>
      <c r="L38" s="104"/>
      <c r="M38" s="104"/>
      <c r="N38" s="104"/>
      <c r="O38" s="104"/>
      <c r="P38" s="104"/>
      <c r="Q38" s="104"/>
      <c r="R38" s="104"/>
      <c r="S38" s="104"/>
      <c r="T38" s="104"/>
      <c r="U38" s="104"/>
      <c r="V38" s="104"/>
      <c r="W38" s="104"/>
      <c r="X38" s="104"/>
      <c r="Y38" s="104"/>
      <c r="Z38" s="121">
        <f t="shared" ref="Z38:Z46" si="15">SUM(E38:Y38)</f>
        <v>75000</v>
      </c>
    </row>
    <row r="39" spans="3:28">
      <c r="C39" s="124" t="str">
        <f t="shared" si="14"/>
        <v>Investeringskost 3</v>
      </c>
      <c r="D39" s="137" t="str">
        <f t="shared" si="14"/>
        <v>Andre investeringskostnader</v>
      </c>
      <c r="E39" s="138">
        <f>+G11</f>
        <v>0</v>
      </c>
      <c r="F39" s="104"/>
      <c r="G39" s="104"/>
      <c r="H39" s="104"/>
      <c r="I39" s="104"/>
      <c r="J39" s="104"/>
      <c r="K39" s="104"/>
      <c r="L39" s="104"/>
      <c r="M39" s="104"/>
      <c r="N39" s="104"/>
      <c r="O39" s="104"/>
      <c r="P39" s="104"/>
      <c r="Q39" s="104"/>
      <c r="R39" s="104"/>
      <c r="S39" s="104"/>
      <c r="T39" s="104"/>
      <c r="U39" s="104"/>
      <c r="V39" s="104"/>
      <c r="W39" s="104"/>
      <c r="X39" s="104"/>
      <c r="Y39" s="104"/>
      <c r="Z39" s="121">
        <f t="shared" si="15"/>
        <v>0</v>
      </c>
    </row>
    <row r="40" spans="3:28">
      <c r="C40" s="124" t="str">
        <f t="shared" ref="C40:D44" si="16">+C14</f>
        <v>Driftsutgift 1 (per år)</v>
      </c>
      <c r="D40" s="137" t="str">
        <f t="shared" si="16"/>
        <v>Forsikring</v>
      </c>
      <c r="E40" s="95"/>
      <c r="F40" s="95">
        <f t="shared" ref="F40:Y40" si="17">IF(F$25&lt;=Levetid,$G14*(1+Justert_prisstigning)^F$25,)</f>
        <v>40000</v>
      </c>
      <c r="G40" s="95">
        <f t="shared" si="17"/>
        <v>40000</v>
      </c>
      <c r="H40" s="95">
        <f t="shared" si="17"/>
        <v>40000</v>
      </c>
      <c r="I40" s="95">
        <f t="shared" si="17"/>
        <v>40000</v>
      </c>
      <c r="J40" s="95">
        <f t="shared" si="17"/>
        <v>40000</v>
      </c>
      <c r="K40" s="95">
        <f t="shared" si="17"/>
        <v>40000</v>
      </c>
      <c r="L40" s="95">
        <f t="shared" si="17"/>
        <v>0</v>
      </c>
      <c r="M40" s="95">
        <f t="shared" si="17"/>
        <v>0</v>
      </c>
      <c r="N40" s="95">
        <f t="shared" si="17"/>
        <v>0</v>
      </c>
      <c r="O40" s="95">
        <f t="shared" si="17"/>
        <v>0</v>
      </c>
      <c r="P40" s="95">
        <f t="shared" si="17"/>
        <v>0</v>
      </c>
      <c r="Q40" s="95">
        <f t="shared" si="17"/>
        <v>0</v>
      </c>
      <c r="R40" s="95">
        <f t="shared" si="17"/>
        <v>0</v>
      </c>
      <c r="S40" s="95">
        <f t="shared" si="17"/>
        <v>0</v>
      </c>
      <c r="T40" s="95">
        <f t="shared" si="17"/>
        <v>0</v>
      </c>
      <c r="U40" s="95">
        <f t="shared" si="17"/>
        <v>0</v>
      </c>
      <c r="V40" s="95">
        <f t="shared" si="17"/>
        <v>0</v>
      </c>
      <c r="W40" s="95">
        <f t="shared" si="17"/>
        <v>0</v>
      </c>
      <c r="X40" s="95">
        <f t="shared" si="17"/>
        <v>0</v>
      </c>
      <c r="Y40" s="95">
        <f t="shared" si="17"/>
        <v>0</v>
      </c>
      <c r="Z40" s="121">
        <f>SUM(E40:Y40)</f>
        <v>240000</v>
      </c>
    </row>
    <row r="41" spans="3:28">
      <c r="C41" s="124" t="str">
        <f t="shared" si="16"/>
        <v>Driftsutgift 2 (per år)</v>
      </c>
      <c r="D41" s="137" t="str">
        <f t="shared" si="16"/>
        <v>Reparasjon og vedlikehold</v>
      </c>
      <c r="E41" s="95"/>
      <c r="F41" s="95">
        <f t="shared" ref="F41:Y41" si="18">IF(F$25&lt;=Levetid,$G15*(1+Justert_prisstigning)^F$25,)</f>
        <v>37500</v>
      </c>
      <c r="G41" s="95">
        <f t="shared" si="18"/>
        <v>37500</v>
      </c>
      <c r="H41" s="95">
        <f t="shared" si="18"/>
        <v>37500</v>
      </c>
      <c r="I41" s="95">
        <f t="shared" si="18"/>
        <v>37500</v>
      </c>
      <c r="J41" s="95">
        <f t="shared" si="18"/>
        <v>37500</v>
      </c>
      <c r="K41" s="95">
        <f t="shared" si="18"/>
        <v>37500</v>
      </c>
      <c r="L41" s="95">
        <f t="shared" si="18"/>
        <v>0</v>
      </c>
      <c r="M41" s="95">
        <f t="shared" si="18"/>
        <v>0</v>
      </c>
      <c r="N41" s="95">
        <f t="shared" si="18"/>
        <v>0</v>
      </c>
      <c r="O41" s="95">
        <f t="shared" si="18"/>
        <v>0</v>
      </c>
      <c r="P41" s="95">
        <f t="shared" si="18"/>
        <v>0</v>
      </c>
      <c r="Q41" s="95">
        <f t="shared" si="18"/>
        <v>0</v>
      </c>
      <c r="R41" s="95">
        <f t="shared" si="18"/>
        <v>0</v>
      </c>
      <c r="S41" s="95">
        <f t="shared" si="18"/>
        <v>0</v>
      </c>
      <c r="T41" s="95">
        <f t="shared" si="18"/>
        <v>0</v>
      </c>
      <c r="U41" s="95">
        <f t="shared" si="18"/>
        <v>0</v>
      </c>
      <c r="V41" s="95">
        <f t="shared" si="18"/>
        <v>0</v>
      </c>
      <c r="W41" s="95">
        <f t="shared" si="18"/>
        <v>0</v>
      </c>
      <c r="X41" s="95">
        <f t="shared" si="18"/>
        <v>0</v>
      </c>
      <c r="Y41" s="95">
        <f t="shared" si="18"/>
        <v>0</v>
      </c>
      <c r="Z41" s="121">
        <f t="shared" si="15"/>
        <v>225000</v>
      </c>
    </row>
    <row r="42" spans="3:28">
      <c r="C42" s="124" t="str">
        <f t="shared" si="16"/>
        <v>Driftsutgift 3 (per år)</v>
      </c>
      <c r="D42" s="137" t="str">
        <f t="shared" si="16"/>
        <v>Forbruk (kjørelengde 1 400 mil årlig forbruk fra spekk/test)</v>
      </c>
      <c r="E42" s="95"/>
      <c r="F42" s="95">
        <f t="shared" ref="F42:Y42" si="19">IF(F$25&lt;=Levetid,$G16*(1+Justert_prisstigning)^F$25,)</f>
        <v>16800</v>
      </c>
      <c r="G42" s="95">
        <f t="shared" si="19"/>
        <v>16800</v>
      </c>
      <c r="H42" s="95">
        <f t="shared" si="19"/>
        <v>16800</v>
      </c>
      <c r="I42" s="95">
        <f t="shared" si="19"/>
        <v>16800</v>
      </c>
      <c r="J42" s="95">
        <f t="shared" si="19"/>
        <v>16800</v>
      </c>
      <c r="K42" s="95">
        <f t="shared" si="19"/>
        <v>16800</v>
      </c>
      <c r="L42" s="95">
        <f t="shared" si="19"/>
        <v>0</v>
      </c>
      <c r="M42" s="95">
        <f t="shared" si="19"/>
        <v>0</v>
      </c>
      <c r="N42" s="95">
        <f t="shared" si="19"/>
        <v>0</v>
      </c>
      <c r="O42" s="95">
        <f t="shared" si="19"/>
        <v>0</v>
      </c>
      <c r="P42" s="95">
        <f t="shared" si="19"/>
        <v>0</v>
      </c>
      <c r="Q42" s="95">
        <f t="shared" si="19"/>
        <v>0</v>
      </c>
      <c r="R42" s="95">
        <f t="shared" si="19"/>
        <v>0</v>
      </c>
      <c r="S42" s="95">
        <f t="shared" si="19"/>
        <v>0</v>
      </c>
      <c r="T42" s="95">
        <f t="shared" si="19"/>
        <v>0</v>
      </c>
      <c r="U42" s="95">
        <f t="shared" si="19"/>
        <v>0</v>
      </c>
      <c r="V42" s="95">
        <f t="shared" si="19"/>
        <v>0</v>
      </c>
      <c r="W42" s="95">
        <f t="shared" si="19"/>
        <v>0</v>
      </c>
      <c r="X42" s="95">
        <f t="shared" si="19"/>
        <v>0</v>
      </c>
      <c r="Y42" s="95">
        <f t="shared" si="19"/>
        <v>0</v>
      </c>
      <c r="Z42" s="121">
        <f t="shared" si="15"/>
        <v>100800</v>
      </c>
    </row>
    <row r="43" spans="3:28">
      <c r="C43" s="124" t="str">
        <f t="shared" si="16"/>
        <v>Driftsutgift 4 (per år)</v>
      </c>
      <c r="D43" s="137" t="str">
        <f t="shared" si="16"/>
        <v>Årsavgift</v>
      </c>
      <c r="E43" s="95"/>
      <c r="F43" s="95">
        <f t="shared" ref="F43:Y43" si="20">IF(F$25&lt;=Levetid,$G17*(1+Justert_prisstigning)^F$25,)</f>
        <v>2275</v>
      </c>
      <c r="G43" s="95">
        <f t="shared" si="20"/>
        <v>2275</v>
      </c>
      <c r="H43" s="95">
        <f t="shared" si="20"/>
        <v>2275</v>
      </c>
      <c r="I43" s="95">
        <f t="shared" si="20"/>
        <v>2275</v>
      </c>
      <c r="J43" s="95">
        <f t="shared" si="20"/>
        <v>2275</v>
      </c>
      <c r="K43" s="95">
        <f t="shared" si="20"/>
        <v>2275</v>
      </c>
      <c r="L43" s="95">
        <f t="shared" si="20"/>
        <v>0</v>
      </c>
      <c r="M43" s="95">
        <f t="shared" si="20"/>
        <v>0</v>
      </c>
      <c r="N43" s="95">
        <f t="shared" si="20"/>
        <v>0</v>
      </c>
      <c r="O43" s="95">
        <f t="shared" si="20"/>
        <v>0</v>
      </c>
      <c r="P43" s="95">
        <f t="shared" si="20"/>
        <v>0</v>
      </c>
      <c r="Q43" s="95">
        <f t="shared" si="20"/>
        <v>0</v>
      </c>
      <c r="R43" s="95">
        <f t="shared" si="20"/>
        <v>0</v>
      </c>
      <c r="S43" s="95">
        <f t="shared" si="20"/>
        <v>0</v>
      </c>
      <c r="T43" s="95">
        <f t="shared" si="20"/>
        <v>0</v>
      </c>
      <c r="U43" s="95">
        <f t="shared" si="20"/>
        <v>0</v>
      </c>
      <c r="V43" s="95">
        <f t="shared" si="20"/>
        <v>0</v>
      </c>
      <c r="W43" s="95">
        <f t="shared" si="20"/>
        <v>0</v>
      </c>
      <c r="X43" s="95">
        <f t="shared" si="20"/>
        <v>0</v>
      </c>
      <c r="Y43" s="95">
        <f t="shared" si="20"/>
        <v>0</v>
      </c>
      <c r="Z43" s="121">
        <f t="shared" si="15"/>
        <v>13650</v>
      </c>
    </row>
    <row r="44" spans="3:28">
      <c r="C44" s="124" t="str">
        <f t="shared" si="16"/>
        <v>Driftsutgift 5 (per år)</v>
      </c>
      <c r="D44" s="137" t="str">
        <f t="shared" si="16"/>
        <v>Andre driftskostnader</v>
      </c>
      <c r="E44" s="95"/>
      <c r="F44" s="95">
        <f t="shared" ref="F44:Y44" si="21">IF(F$25&lt;=Levetid,$G18*(1+Justert_prisstigning)^F$25,)</f>
        <v>0</v>
      </c>
      <c r="G44" s="95">
        <f t="shared" si="21"/>
        <v>0</v>
      </c>
      <c r="H44" s="95">
        <f t="shared" si="21"/>
        <v>0</v>
      </c>
      <c r="I44" s="95">
        <f t="shared" si="21"/>
        <v>0</v>
      </c>
      <c r="J44" s="95">
        <f t="shared" si="21"/>
        <v>0</v>
      </c>
      <c r="K44" s="95">
        <f t="shared" si="21"/>
        <v>0</v>
      </c>
      <c r="L44" s="95">
        <f t="shared" si="21"/>
        <v>0</v>
      </c>
      <c r="M44" s="95">
        <f t="shared" si="21"/>
        <v>0</v>
      </c>
      <c r="N44" s="95">
        <f t="shared" si="21"/>
        <v>0</v>
      </c>
      <c r="O44" s="95">
        <f t="shared" si="21"/>
        <v>0</v>
      </c>
      <c r="P44" s="95">
        <f t="shared" si="21"/>
        <v>0</v>
      </c>
      <c r="Q44" s="95">
        <f t="shared" si="21"/>
        <v>0</v>
      </c>
      <c r="R44" s="95">
        <f t="shared" si="21"/>
        <v>0</v>
      </c>
      <c r="S44" s="95">
        <f t="shared" si="21"/>
        <v>0</v>
      </c>
      <c r="T44" s="95">
        <f t="shared" si="21"/>
        <v>0</v>
      </c>
      <c r="U44" s="95">
        <f t="shared" si="21"/>
        <v>0</v>
      </c>
      <c r="V44" s="95">
        <f t="shared" si="21"/>
        <v>0</v>
      </c>
      <c r="W44" s="95">
        <f t="shared" si="21"/>
        <v>0</v>
      </c>
      <c r="X44" s="95">
        <f t="shared" si="21"/>
        <v>0</v>
      </c>
      <c r="Y44" s="95">
        <f t="shared" si="21"/>
        <v>0</v>
      </c>
      <c r="Z44" s="121">
        <f t="shared" si="15"/>
        <v>0</v>
      </c>
    </row>
    <row r="45" spans="3:28">
      <c r="C45" s="124" t="str">
        <f>+C21</f>
        <v>Avhendingskostnader/restverdier</v>
      </c>
      <c r="D45" s="137" t="str">
        <f>+D21</f>
        <v>Avhendingsutgifter - salgsinntekter</v>
      </c>
      <c r="E45" s="95">
        <f t="shared" ref="E45:Y45" si="22">IF(Levetid=E25,$G$21*(1+Justert_prisstigning)^E25,)</f>
        <v>0</v>
      </c>
      <c r="F45" s="95">
        <f t="shared" si="22"/>
        <v>0</v>
      </c>
      <c r="G45" s="95">
        <f t="shared" si="22"/>
        <v>0</v>
      </c>
      <c r="H45" s="95">
        <f t="shared" si="22"/>
        <v>0</v>
      </c>
      <c r="I45" s="95">
        <f t="shared" si="22"/>
        <v>0</v>
      </c>
      <c r="J45" s="95">
        <f t="shared" si="22"/>
        <v>0</v>
      </c>
      <c r="K45" s="95">
        <f t="shared" si="22"/>
        <v>-208333.33333333331</v>
      </c>
      <c r="L45" s="95">
        <f t="shared" si="22"/>
        <v>0</v>
      </c>
      <c r="M45" s="95">
        <f t="shared" si="22"/>
        <v>0</v>
      </c>
      <c r="N45" s="95">
        <f t="shared" si="22"/>
        <v>0</v>
      </c>
      <c r="O45" s="95">
        <f t="shared" si="22"/>
        <v>0</v>
      </c>
      <c r="P45" s="95">
        <f t="shared" si="22"/>
        <v>0</v>
      </c>
      <c r="Q45" s="95">
        <f t="shared" si="22"/>
        <v>0</v>
      </c>
      <c r="R45" s="95">
        <f t="shared" si="22"/>
        <v>0</v>
      </c>
      <c r="S45" s="95">
        <f t="shared" si="22"/>
        <v>0</v>
      </c>
      <c r="T45" s="95">
        <f t="shared" si="22"/>
        <v>0</v>
      </c>
      <c r="U45" s="95">
        <f t="shared" si="22"/>
        <v>0</v>
      </c>
      <c r="V45" s="95">
        <f t="shared" si="22"/>
        <v>0</v>
      </c>
      <c r="W45" s="95">
        <f t="shared" si="22"/>
        <v>0</v>
      </c>
      <c r="X45" s="95">
        <f t="shared" si="22"/>
        <v>0</v>
      </c>
      <c r="Y45" s="95">
        <f t="shared" si="22"/>
        <v>0</v>
      </c>
      <c r="Z45" s="121">
        <f t="shared" si="15"/>
        <v>-208333.33333333331</v>
      </c>
    </row>
    <row r="46" spans="3:28">
      <c r="C46" s="139"/>
      <c r="D46" s="95" t="s">
        <v>28</v>
      </c>
      <c r="E46" s="95">
        <f>SUM(E37:E45)</f>
        <v>1325000</v>
      </c>
      <c r="F46" s="95">
        <f>SUM(F37:F45)</f>
        <v>96575</v>
      </c>
      <c r="G46" s="95">
        <f t="shared" ref="G46:Y46" si="23">SUM(G37:G45)</f>
        <v>96575</v>
      </c>
      <c r="H46" s="95">
        <f t="shared" si="23"/>
        <v>96575</v>
      </c>
      <c r="I46" s="95">
        <f>SUM(I37:I45)</f>
        <v>96575</v>
      </c>
      <c r="J46" s="95">
        <f t="shared" si="23"/>
        <v>96575</v>
      </c>
      <c r="K46" s="95">
        <f t="shared" si="23"/>
        <v>-111758.33333333331</v>
      </c>
      <c r="L46" s="95">
        <f t="shared" si="23"/>
        <v>0</v>
      </c>
      <c r="M46" s="95">
        <f t="shared" si="23"/>
        <v>0</v>
      </c>
      <c r="N46" s="95">
        <f t="shared" si="23"/>
        <v>0</v>
      </c>
      <c r="O46" s="95">
        <f t="shared" si="23"/>
        <v>0</v>
      </c>
      <c r="P46" s="95">
        <f t="shared" si="23"/>
        <v>0</v>
      </c>
      <c r="Q46" s="95">
        <f t="shared" si="23"/>
        <v>0</v>
      </c>
      <c r="R46" s="95">
        <f t="shared" si="23"/>
        <v>0</v>
      </c>
      <c r="S46" s="95">
        <f t="shared" si="23"/>
        <v>0</v>
      </c>
      <c r="T46" s="95">
        <f t="shared" si="23"/>
        <v>0</v>
      </c>
      <c r="U46" s="95">
        <f t="shared" si="23"/>
        <v>0</v>
      </c>
      <c r="V46" s="95">
        <f t="shared" si="23"/>
        <v>0</v>
      </c>
      <c r="W46" s="95">
        <f t="shared" si="23"/>
        <v>0</v>
      </c>
      <c r="X46" s="95">
        <f t="shared" si="23"/>
        <v>0</v>
      </c>
      <c r="Y46" s="95">
        <f t="shared" si="23"/>
        <v>0</v>
      </c>
      <c r="Z46" s="121">
        <f t="shared" si="15"/>
        <v>1696116.6666666667</v>
      </c>
    </row>
    <row r="47" spans="3:28">
      <c r="C47" s="140"/>
      <c r="D47" s="95" t="s">
        <v>21</v>
      </c>
      <c r="E47" s="95">
        <f t="shared" ref="E47:K47" si="24">+E46*E23</f>
        <v>1325000</v>
      </c>
      <c r="F47" s="95">
        <f t="shared" si="24"/>
        <v>92860.576923076922</v>
      </c>
      <c r="G47" s="95">
        <f>+G46*G23</f>
        <v>89289.016272189343</v>
      </c>
      <c r="H47" s="95">
        <f t="shared" si="24"/>
        <v>85854.823338643604</v>
      </c>
      <c r="I47" s="95">
        <f t="shared" si="24"/>
        <v>82552.714748695755</v>
      </c>
      <c r="J47" s="95">
        <f t="shared" si="24"/>
        <v>79377.610335284378</v>
      </c>
      <c r="K47" s="95">
        <f t="shared" si="24"/>
        <v>-88324.234204724853</v>
      </c>
      <c r="L47" s="95">
        <f t="shared" ref="L47:X47" si="25">+L46*L23</f>
        <v>0</v>
      </c>
      <c r="M47" s="95">
        <f t="shared" si="25"/>
        <v>0</v>
      </c>
      <c r="N47" s="95">
        <f t="shared" si="25"/>
        <v>0</v>
      </c>
      <c r="O47" s="95">
        <f t="shared" si="25"/>
        <v>0</v>
      </c>
      <c r="P47" s="95">
        <f t="shared" si="25"/>
        <v>0</v>
      </c>
      <c r="Q47" s="95">
        <f t="shared" si="25"/>
        <v>0</v>
      </c>
      <c r="R47" s="95">
        <f t="shared" si="25"/>
        <v>0</v>
      </c>
      <c r="S47" s="95">
        <f t="shared" si="25"/>
        <v>0</v>
      </c>
      <c r="T47" s="95">
        <f t="shared" si="25"/>
        <v>0</v>
      </c>
      <c r="U47" s="95">
        <f t="shared" si="25"/>
        <v>0</v>
      </c>
      <c r="V47" s="95">
        <f t="shared" si="25"/>
        <v>0</v>
      </c>
      <c r="W47" s="95">
        <f t="shared" si="25"/>
        <v>0</v>
      </c>
      <c r="X47" s="95">
        <f t="shared" si="25"/>
        <v>0</v>
      </c>
      <c r="Y47" s="95">
        <f>+Y46*Y23</f>
        <v>0</v>
      </c>
      <c r="Z47" s="121">
        <f>SUM(E47:Y47)</f>
        <v>1666610.5074131652</v>
      </c>
    </row>
    <row r="48" spans="3:28">
      <c r="C48" s="140"/>
      <c r="D48" s="95" t="s">
        <v>27</v>
      </c>
      <c r="E48" s="95">
        <f t="shared" ref="E48:Y48" si="26">+E47-E27</f>
        <v>0</v>
      </c>
      <c r="F48" s="95">
        <f t="shared" si="26"/>
        <v>0</v>
      </c>
      <c r="G48" s="95">
        <f t="shared" si="26"/>
        <v>0</v>
      </c>
      <c r="H48" s="95">
        <f t="shared" si="26"/>
        <v>0</v>
      </c>
      <c r="I48" s="95">
        <f t="shared" si="26"/>
        <v>0</v>
      </c>
      <c r="J48" s="95">
        <f t="shared" si="26"/>
        <v>0</v>
      </c>
      <c r="K48" s="95">
        <f t="shared" si="26"/>
        <v>0</v>
      </c>
      <c r="L48" s="95">
        <f t="shared" si="26"/>
        <v>0</v>
      </c>
      <c r="M48" s="95">
        <f t="shared" si="26"/>
        <v>0</v>
      </c>
      <c r="N48" s="95">
        <f t="shared" si="26"/>
        <v>0</v>
      </c>
      <c r="O48" s="95">
        <f t="shared" si="26"/>
        <v>0</v>
      </c>
      <c r="P48" s="95">
        <f t="shared" si="26"/>
        <v>0</v>
      </c>
      <c r="Q48" s="95">
        <f t="shared" si="26"/>
        <v>0</v>
      </c>
      <c r="R48" s="95">
        <f t="shared" si="26"/>
        <v>0</v>
      </c>
      <c r="S48" s="95">
        <f t="shared" si="26"/>
        <v>0</v>
      </c>
      <c r="T48" s="95">
        <f t="shared" si="26"/>
        <v>0</v>
      </c>
      <c r="U48" s="95">
        <f t="shared" si="26"/>
        <v>0</v>
      </c>
      <c r="V48" s="95">
        <f t="shared" si="26"/>
        <v>0</v>
      </c>
      <c r="W48" s="95">
        <f t="shared" si="26"/>
        <v>0</v>
      </c>
      <c r="X48" s="95">
        <f t="shared" si="26"/>
        <v>0</v>
      </c>
      <c r="Y48" s="95">
        <f t="shared" si="26"/>
        <v>0</v>
      </c>
      <c r="Z48" s="121"/>
    </row>
    <row r="49" spans="2:49">
      <c r="C49" s="259" t="s">
        <v>196</v>
      </c>
      <c r="D49" s="90"/>
      <c r="E49" s="141"/>
      <c r="F49" s="141"/>
      <c r="G49" s="141"/>
      <c r="H49" s="141"/>
      <c r="I49" s="141"/>
      <c r="J49" s="141"/>
      <c r="K49" s="141"/>
      <c r="L49" s="141"/>
      <c r="M49" s="141"/>
      <c r="N49" s="141"/>
      <c r="O49" s="141"/>
      <c r="P49" s="141"/>
      <c r="Q49" s="141"/>
      <c r="R49" s="141"/>
      <c r="S49" s="141"/>
      <c r="T49" s="141"/>
      <c r="U49" s="141"/>
      <c r="V49" s="141"/>
      <c r="W49" s="141"/>
      <c r="X49" s="141"/>
      <c r="Y49" s="141"/>
      <c r="Z49" s="142"/>
    </row>
    <row r="50" spans="2:49">
      <c r="C50" s="124" t="str">
        <f t="shared" ref="C50:D57" si="27">+C37</f>
        <v>Investeringskost 1</v>
      </c>
      <c r="D50" s="137" t="str">
        <f t="shared" si="27"/>
        <v>Bil med sommer og vinterdekk</v>
      </c>
      <c r="E50" s="104">
        <f>+E37*$E$23</f>
        <v>1250000</v>
      </c>
      <c r="F50" s="104"/>
      <c r="G50" s="104"/>
      <c r="H50" s="104"/>
      <c r="I50" s="104"/>
      <c r="J50" s="104"/>
      <c r="K50" s="104"/>
      <c r="L50" s="104"/>
      <c r="M50" s="104"/>
      <c r="N50" s="104"/>
      <c r="O50" s="104"/>
      <c r="P50" s="104"/>
      <c r="Q50" s="104"/>
      <c r="R50" s="104"/>
      <c r="S50" s="104"/>
      <c r="T50" s="104"/>
      <c r="U50" s="104"/>
      <c r="V50" s="104"/>
      <c r="W50" s="104"/>
      <c r="X50" s="104"/>
      <c r="Y50" s="104"/>
      <c r="Z50" s="121">
        <f t="shared" ref="Z50:Z59" si="28">SUM(E50:Y50)</f>
        <v>1250000</v>
      </c>
    </row>
    <row r="51" spans="2:49">
      <c r="C51" s="124" t="str">
        <f t="shared" si="27"/>
        <v>Investeringskost 2</v>
      </c>
      <c r="D51" s="137" t="str">
        <f t="shared" si="27"/>
        <v>Ekstrautstyr: automatgir og ryggesensor</v>
      </c>
      <c r="E51" s="104">
        <f t="shared" ref="E51:E58" si="29">+E38*$E$23</f>
        <v>75000</v>
      </c>
      <c r="F51" s="104"/>
      <c r="G51" s="104"/>
      <c r="H51" s="104"/>
      <c r="I51" s="104"/>
      <c r="J51" s="104"/>
      <c r="K51" s="104"/>
      <c r="L51" s="104"/>
      <c r="M51" s="104"/>
      <c r="N51" s="104"/>
      <c r="O51" s="104"/>
      <c r="P51" s="104"/>
      <c r="Q51" s="104"/>
      <c r="R51" s="104"/>
      <c r="S51" s="104"/>
      <c r="T51" s="104"/>
      <c r="U51" s="104"/>
      <c r="V51" s="104"/>
      <c r="W51" s="104"/>
      <c r="X51" s="104"/>
      <c r="Y51" s="104"/>
      <c r="Z51" s="121">
        <f t="shared" si="28"/>
        <v>75000</v>
      </c>
    </row>
    <row r="52" spans="2:49">
      <c r="C52" s="124" t="str">
        <f t="shared" si="27"/>
        <v>Investeringskost 3</v>
      </c>
      <c r="D52" s="137" t="str">
        <f t="shared" si="27"/>
        <v>Andre investeringskostnader</v>
      </c>
      <c r="E52" s="104">
        <f t="shared" si="29"/>
        <v>0</v>
      </c>
      <c r="F52" s="104"/>
      <c r="G52" s="104"/>
      <c r="H52" s="104"/>
      <c r="I52" s="104"/>
      <c r="J52" s="104"/>
      <c r="K52" s="104"/>
      <c r="L52" s="104"/>
      <c r="M52" s="104"/>
      <c r="N52" s="104"/>
      <c r="O52" s="104"/>
      <c r="P52" s="104"/>
      <c r="Q52" s="104"/>
      <c r="R52" s="104"/>
      <c r="S52" s="104"/>
      <c r="T52" s="104"/>
      <c r="U52" s="104"/>
      <c r="V52" s="104"/>
      <c r="W52" s="104"/>
      <c r="X52" s="104"/>
      <c r="Y52" s="104"/>
      <c r="Z52" s="121">
        <f t="shared" si="28"/>
        <v>0</v>
      </c>
    </row>
    <row r="53" spans="2:49">
      <c r="C53" s="124" t="str">
        <f t="shared" si="27"/>
        <v>Driftsutgift 1 (per år)</v>
      </c>
      <c r="D53" s="137" t="str">
        <f t="shared" si="27"/>
        <v>Forsikring</v>
      </c>
      <c r="E53" s="104">
        <f t="shared" si="29"/>
        <v>0</v>
      </c>
      <c r="F53" s="95">
        <f t="shared" ref="F53:Y53" si="30">+F40*F$23</f>
        <v>38461.538461538461</v>
      </c>
      <c r="G53" s="95">
        <f t="shared" si="30"/>
        <v>36982.248520710054</v>
      </c>
      <c r="H53" s="95">
        <f t="shared" si="30"/>
        <v>35559.854346836597</v>
      </c>
      <c r="I53" s="95">
        <f t="shared" si="30"/>
        <v>34192.167641189029</v>
      </c>
      <c r="J53" s="95">
        <f t="shared" si="30"/>
        <v>32877.084270374064</v>
      </c>
      <c r="K53" s="95">
        <f t="shared" si="30"/>
        <v>31612.581029205827</v>
      </c>
      <c r="L53" s="95">
        <f t="shared" si="30"/>
        <v>0</v>
      </c>
      <c r="M53" s="95">
        <f t="shared" si="30"/>
        <v>0</v>
      </c>
      <c r="N53" s="95">
        <f t="shared" si="30"/>
        <v>0</v>
      </c>
      <c r="O53" s="95">
        <f t="shared" si="30"/>
        <v>0</v>
      </c>
      <c r="P53" s="95">
        <f t="shared" si="30"/>
        <v>0</v>
      </c>
      <c r="Q53" s="95">
        <f t="shared" si="30"/>
        <v>0</v>
      </c>
      <c r="R53" s="95">
        <f t="shared" si="30"/>
        <v>0</v>
      </c>
      <c r="S53" s="95">
        <f t="shared" si="30"/>
        <v>0</v>
      </c>
      <c r="T53" s="95">
        <f t="shared" si="30"/>
        <v>0</v>
      </c>
      <c r="U53" s="95">
        <f t="shared" si="30"/>
        <v>0</v>
      </c>
      <c r="V53" s="95">
        <f t="shared" si="30"/>
        <v>0</v>
      </c>
      <c r="W53" s="95">
        <f t="shared" si="30"/>
        <v>0</v>
      </c>
      <c r="X53" s="95">
        <f t="shared" si="30"/>
        <v>0</v>
      </c>
      <c r="Y53" s="95">
        <f t="shared" si="30"/>
        <v>0</v>
      </c>
      <c r="Z53" s="121">
        <f t="shared" si="28"/>
        <v>209685.47426985402</v>
      </c>
    </row>
    <row r="54" spans="2:49">
      <c r="C54" s="124" t="str">
        <f t="shared" si="27"/>
        <v>Driftsutgift 2 (per år)</v>
      </c>
      <c r="D54" s="137" t="str">
        <f t="shared" si="27"/>
        <v>Reparasjon og vedlikehold</v>
      </c>
      <c r="E54" s="104">
        <f t="shared" si="29"/>
        <v>0</v>
      </c>
      <c r="F54" s="95">
        <f t="shared" ref="F54:Y54" si="31">+F41*F$23</f>
        <v>36057.692307692305</v>
      </c>
      <c r="G54" s="95">
        <f t="shared" si="31"/>
        <v>34670.857988165677</v>
      </c>
      <c r="H54" s="95">
        <f t="shared" si="31"/>
        <v>33337.363450159304</v>
      </c>
      <c r="I54" s="95">
        <f t="shared" si="31"/>
        <v>32055.157163614713</v>
      </c>
      <c r="J54" s="95">
        <f t="shared" si="31"/>
        <v>30822.266503475683</v>
      </c>
      <c r="K54" s="95">
        <f t="shared" si="31"/>
        <v>29636.794714880463</v>
      </c>
      <c r="L54" s="95">
        <f t="shared" si="31"/>
        <v>0</v>
      </c>
      <c r="M54" s="95">
        <f t="shared" si="31"/>
        <v>0</v>
      </c>
      <c r="N54" s="95">
        <f t="shared" si="31"/>
        <v>0</v>
      </c>
      <c r="O54" s="95">
        <f t="shared" si="31"/>
        <v>0</v>
      </c>
      <c r="P54" s="95">
        <f t="shared" si="31"/>
        <v>0</v>
      </c>
      <c r="Q54" s="95">
        <f t="shared" si="31"/>
        <v>0</v>
      </c>
      <c r="R54" s="95">
        <f t="shared" si="31"/>
        <v>0</v>
      </c>
      <c r="S54" s="95">
        <f t="shared" si="31"/>
        <v>0</v>
      </c>
      <c r="T54" s="95">
        <f t="shared" si="31"/>
        <v>0</v>
      </c>
      <c r="U54" s="95">
        <f t="shared" si="31"/>
        <v>0</v>
      </c>
      <c r="V54" s="95">
        <f t="shared" si="31"/>
        <v>0</v>
      </c>
      <c r="W54" s="95">
        <f t="shared" si="31"/>
        <v>0</v>
      </c>
      <c r="X54" s="95">
        <f t="shared" si="31"/>
        <v>0</v>
      </c>
      <c r="Y54" s="95">
        <f t="shared" si="31"/>
        <v>0</v>
      </c>
      <c r="Z54" s="121">
        <f t="shared" si="28"/>
        <v>196580.13212798815</v>
      </c>
    </row>
    <row r="55" spans="2:49">
      <c r="C55" s="124" t="str">
        <f t="shared" si="27"/>
        <v>Driftsutgift 3 (per år)</v>
      </c>
      <c r="D55" s="137" t="str">
        <f t="shared" si="27"/>
        <v>Forbruk (kjørelengde 1 400 mil årlig forbruk fra spekk/test)</v>
      </c>
      <c r="E55" s="104">
        <f t="shared" si="29"/>
        <v>0</v>
      </c>
      <c r="F55" s="95">
        <f t="shared" ref="F55:Y55" si="32">+F42*F$23</f>
        <v>16153.846153846152</v>
      </c>
      <c r="G55" s="95">
        <f t="shared" si="32"/>
        <v>15532.544378698223</v>
      </c>
      <c r="H55" s="95">
        <f t="shared" si="32"/>
        <v>14935.138825671369</v>
      </c>
      <c r="I55" s="95">
        <f t="shared" si="32"/>
        <v>14360.710409299392</v>
      </c>
      <c r="J55" s="95">
        <f t="shared" si="32"/>
        <v>13808.375393557106</v>
      </c>
      <c r="K55" s="95">
        <f t="shared" si="32"/>
        <v>13277.284032266449</v>
      </c>
      <c r="L55" s="95">
        <f t="shared" si="32"/>
        <v>0</v>
      </c>
      <c r="M55" s="95">
        <f t="shared" si="32"/>
        <v>0</v>
      </c>
      <c r="N55" s="95">
        <f t="shared" si="32"/>
        <v>0</v>
      </c>
      <c r="O55" s="95">
        <f t="shared" si="32"/>
        <v>0</v>
      </c>
      <c r="P55" s="95">
        <f t="shared" si="32"/>
        <v>0</v>
      </c>
      <c r="Q55" s="95">
        <f t="shared" si="32"/>
        <v>0</v>
      </c>
      <c r="R55" s="95">
        <f t="shared" si="32"/>
        <v>0</v>
      </c>
      <c r="S55" s="95">
        <f t="shared" si="32"/>
        <v>0</v>
      </c>
      <c r="T55" s="95">
        <f t="shared" si="32"/>
        <v>0</v>
      </c>
      <c r="U55" s="95">
        <f t="shared" si="32"/>
        <v>0</v>
      </c>
      <c r="V55" s="95">
        <f t="shared" si="32"/>
        <v>0</v>
      </c>
      <c r="W55" s="95">
        <f t="shared" si="32"/>
        <v>0</v>
      </c>
      <c r="X55" s="95">
        <f t="shared" si="32"/>
        <v>0</v>
      </c>
      <c r="Y55" s="95">
        <f t="shared" si="32"/>
        <v>0</v>
      </c>
      <c r="Z55" s="121">
        <f t="shared" si="28"/>
        <v>88067.899193338701</v>
      </c>
    </row>
    <row r="56" spans="2:49">
      <c r="C56" s="124" t="str">
        <f t="shared" si="27"/>
        <v>Driftsutgift 4 (per år)</v>
      </c>
      <c r="D56" s="137" t="str">
        <f t="shared" si="27"/>
        <v>Årsavgift</v>
      </c>
      <c r="E56" s="104">
        <f t="shared" si="29"/>
        <v>0</v>
      </c>
      <c r="F56" s="95">
        <f t="shared" ref="F56:Y56" si="33">+F43*F$23</f>
        <v>2187.5</v>
      </c>
      <c r="G56" s="95">
        <f t="shared" si="33"/>
        <v>2103.3653846153843</v>
      </c>
      <c r="H56" s="95">
        <f t="shared" si="33"/>
        <v>2022.4667159763312</v>
      </c>
      <c r="I56" s="95">
        <f t="shared" si="33"/>
        <v>1944.6795345926259</v>
      </c>
      <c r="J56" s="95">
        <f t="shared" si="33"/>
        <v>1869.8841678775248</v>
      </c>
      <c r="K56" s="95">
        <f t="shared" si="33"/>
        <v>1797.9655460360816</v>
      </c>
      <c r="L56" s="95">
        <f t="shared" si="33"/>
        <v>0</v>
      </c>
      <c r="M56" s="95">
        <f t="shared" si="33"/>
        <v>0</v>
      </c>
      <c r="N56" s="95">
        <f t="shared" si="33"/>
        <v>0</v>
      </c>
      <c r="O56" s="95">
        <f t="shared" si="33"/>
        <v>0</v>
      </c>
      <c r="P56" s="95">
        <f t="shared" si="33"/>
        <v>0</v>
      </c>
      <c r="Q56" s="95">
        <f t="shared" si="33"/>
        <v>0</v>
      </c>
      <c r="R56" s="95">
        <f t="shared" si="33"/>
        <v>0</v>
      </c>
      <c r="S56" s="95">
        <f t="shared" si="33"/>
        <v>0</v>
      </c>
      <c r="T56" s="95">
        <f t="shared" si="33"/>
        <v>0</v>
      </c>
      <c r="U56" s="95">
        <f t="shared" si="33"/>
        <v>0</v>
      </c>
      <c r="V56" s="95">
        <f t="shared" si="33"/>
        <v>0</v>
      </c>
      <c r="W56" s="95">
        <f t="shared" si="33"/>
        <v>0</v>
      </c>
      <c r="X56" s="95">
        <f t="shared" si="33"/>
        <v>0</v>
      </c>
      <c r="Y56" s="95">
        <f t="shared" si="33"/>
        <v>0</v>
      </c>
      <c r="Z56" s="121">
        <f t="shared" si="28"/>
        <v>11925.861349097948</v>
      </c>
    </row>
    <row r="57" spans="2:49">
      <c r="C57" s="124" t="str">
        <f t="shared" si="27"/>
        <v>Driftsutgift 5 (per år)</v>
      </c>
      <c r="D57" s="137" t="str">
        <f t="shared" si="27"/>
        <v>Andre driftskostnader</v>
      </c>
      <c r="E57" s="104">
        <f t="shared" si="29"/>
        <v>0</v>
      </c>
      <c r="F57" s="95">
        <f t="shared" ref="F57:Y57" si="34">+F44*F$23</f>
        <v>0</v>
      </c>
      <c r="G57" s="95">
        <f t="shared" si="34"/>
        <v>0</v>
      </c>
      <c r="H57" s="95">
        <f t="shared" si="34"/>
        <v>0</v>
      </c>
      <c r="I57" s="95">
        <f t="shared" si="34"/>
        <v>0</v>
      </c>
      <c r="J57" s="95">
        <f t="shared" si="34"/>
        <v>0</v>
      </c>
      <c r="K57" s="95">
        <f t="shared" si="34"/>
        <v>0</v>
      </c>
      <c r="L57" s="95">
        <f t="shared" si="34"/>
        <v>0</v>
      </c>
      <c r="M57" s="95">
        <f t="shared" si="34"/>
        <v>0</v>
      </c>
      <c r="N57" s="95">
        <f t="shared" si="34"/>
        <v>0</v>
      </c>
      <c r="O57" s="95">
        <f t="shared" si="34"/>
        <v>0</v>
      </c>
      <c r="P57" s="95">
        <f t="shared" si="34"/>
        <v>0</v>
      </c>
      <c r="Q57" s="95">
        <f t="shared" si="34"/>
        <v>0</v>
      </c>
      <c r="R57" s="95">
        <f t="shared" si="34"/>
        <v>0</v>
      </c>
      <c r="S57" s="95">
        <f t="shared" si="34"/>
        <v>0</v>
      </c>
      <c r="T57" s="95">
        <f t="shared" si="34"/>
        <v>0</v>
      </c>
      <c r="U57" s="95">
        <f t="shared" si="34"/>
        <v>0</v>
      </c>
      <c r="V57" s="95">
        <f t="shared" si="34"/>
        <v>0</v>
      </c>
      <c r="W57" s="95">
        <f t="shared" si="34"/>
        <v>0</v>
      </c>
      <c r="X57" s="95">
        <f t="shared" si="34"/>
        <v>0</v>
      </c>
      <c r="Y57" s="95">
        <f t="shared" si="34"/>
        <v>0</v>
      </c>
      <c r="Z57" s="121">
        <f t="shared" si="28"/>
        <v>0</v>
      </c>
    </row>
    <row r="58" spans="2:49">
      <c r="C58" s="124" t="str">
        <f>C21</f>
        <v>Avhendingskostnader/restverdier</v>
      </c>
      <c r="D58" s="137" t="str">
        <f>D21</f>
        <v>Avhendingsutgifter - salgsinntekter</v>
      </c>
      <c r="E58" s="104">
        <f t="shared" si="29"/>
        <v>0</v>
      </c>
      <c r="F58" s="95">
        <f t="shared" ref="F58:Y58" si="35">+F45*F$23</f>
        <v>0</v>
      </c>
      <c r="G58" s="95">
        <f t="shared" si="35"/>
        <v>0</v>
      </c>
      <c r="H58" s="95">
        <f t="shared" si="35"/>
        <v>0</v>
      </c>
      <c r="I58" s="95">
        <f t="shared" si="35"/>
        <v>0</v>
      </c>
      <c r="J58" s="95">
        <f t="shared" si="35"/>
        <v>0</v>
      </c>
      <c r="K58" s="95">
        <f t="shared" si="35"/>
        <v>-164648.85952711367</v>
      </c>
      <c r="L58" s="95">
        <f t="shared" si="35"/>
        <v>0</v>
      </c>
      <c r="M58" s="95">
        <f t="shared" si="35"/>
        <v>0</v>
      </c>
      <c r="N58" s="95">
        <f t="shared" si="35"/>
        <v>0</v>
      </c>
      <c r="O58" s="95">
        <f t="shared" si="35"/>
        <v>0</v>
      </c>
      <c r="P58" s="95">
        <f t="shared" si="35"/>
        <v>0</v>
      </c>
      <c r="Q58" s="95">
        <f t="shared" si="35"/>
        <v>0</v>
      </c>
      <c r="R58" s="95">
        <f t="shared" si="35"/>
        <v>0</v>
      </c>
      <c r="S58" s="95">
        <f t="shared" si="35"/>
        <v>0</v>
      </c>
      <c r="T58" s="95">
        <f t="shared" si="35"/>
        <v>0</v>
      </c>
      <c r="U58" s="95">
        <f t="shared" si="35"/>
        <v>0</v>
      </c>
      <c r="V58" s="95">
        <f t="shared" si="35"/>
        <v>0</v>
      </c>
      <c r="W58" s="95">
        <f t="shared" si="35"/>
        <v>0</v>
      </c>
      <c r="X58" s="95">
        <f t="shared" si="35"/>
        <v>0</v>
      </c>
      <c r="Y58" s="95">
        <f t="shared" si="35"/>
        <v>0</v>
      </c>
      <c r="Z58" s="121">
        <f t="shared" si="28"/>
        <v>-164648.85952711367</v>
      </c>
    </row>
    <row r="59" spans="2:49">
      <c r="C59" s="139"/>
      <c r="D59" s="95" t="s">
        <v>29</v>
      </c>
      <c r="E59" s="95">
        <f>SUM(E50:E58)</f>
        <v>1325000</v>
      </c>
      <c r="F59" s="95">
        <f>SUM(F50:F58)</f>
        <v>92860.576923076922</v>
      </c>
      <c r="G59" s="95">
        <f t="shared" ref="G59:X59" si="36">SUM(G50:G58)</f>
        <v>89289.016272189343</v>
      </c>
      <c r="H59" s="95">
        <f t="shared" si="36"/>
        <v>85854.823338643604</v>
      </c>
      <c r="I59" s="95">
        <f>SUM(I50:I58)</f>
        <v>82552.714748695755</v>
      </c>
      <c r="J59" s="95">
        <f t="shared" si="36"/>
        <v>79377.610335284364</v>
      </c>
      <c r="K59" s="95">
        <f t="shared" si="36"/>
        <v>-88324.234204724853</v>
      </c>
      <c r="L59" s="95">
        <f t="shared" si="36"/>
        <v>0</v>
      </c>
      <c r="M59" s="95">
        <f t="shared" si="36"/>
        <v>0</v>
      </c>
      <c r="N59" s="95">
        <f t="shared" si="36"/>
        <v>0</v>
      </c>
      <c r="O59" s="95">
        <f t="shared" si="36"/>
        <v>0</v>
      </c>
      <c r="P59" s="95">
        <f t="shared" si="36"/>
        <v>0</v>
      </c>
      <c r="Q59" s="95">
        <f t="shared" si="36"/>
        <v>0</v>
      </c>
      <c r="R59" s="95">
        <f t="shared" si="36"/>
        <v>0</v>
      </c>
      <c r="S59" s="95">
        <f t="shared" si="36"/>
        <v>0</v>
      </c>
      <c r="T59" s="95">
        <f t="shared" si="36"/>
        <v>0</v>
      </c>
      <c r="U59" s="95">
        <f t="shared" si="36"/>
        <v>0</v>
      </c>
      <c r="V59" s="95">
        <f t="shared" si="36"/>
        <v>0</v>
      </c>
      <c r="W59" s="95">
        <f t="shared" si="36"/>
        <v>0</v>
      </c>
      <c r="X59" s="95">
        <f t="shared" si="36"/>
        <v>0</v>
      </c>
      <c r="Y59" s="95">
        <f>SUM(Y50:Y58)</f>
        <v>0</v>
      </c>
      <c r="Z59" s="121">
        <f t="shared" si="28"/>
        <v>1666610.5074131652</v>
      </c>
    </row>
    <row r="60" spans="2:49">
      <c r="C60" s="143"/>
      <c r="D60" s="144" t="str">
        <f>+D48</f>
        <v>Kontroll</v>
      </c>
      <c r="E60" s="135">
        <f>+E59-E47</f>
        <v>0</v>
      </c>
      <c r="F60" s="135">
        <f t="shared" ref="F60:X60" si="37">+F59-F27</f>
        <v>0</v>
      </c>
      <c r="G60" s="135">
        <f t="shared" si="37"/>
        <v>0</v>
      </c>
      <c r="H60" s="135">
        <f t="shared" si="37"/>
        <v>0</v>
      </c>
      <c r="I60" s="135">
        <f>+I59-I27</f>
        <v>0</v>
      </c>
      <c r="J60" s="135">
        <f t="shared" si="37"/>
        <v>0</v>
      </c>
      <c r="K60" s="135">
        <f t="shared" si="37"/>
        <v>0</v>
      </c>
      <c r="L60" s="135">
        <f t="shared" si="37"/>
        <v>0</v>
      </c>
      <c r="M60" s="135">
        <f t="shared" si="37"/>
        <v>0</v>
      </c>
      <c r="N60" s="135">
        <f t="shared" si="37"/>
        <v>0</v>
      </c>
      <c r="O60" s="135">
        <f t="shared" si="37"/>
        <v>0</v>
      </c>
      <c r="P60" s="135">
        <f t="shared" si="37"/>
        <v>0</v>
      </c>
      <c r="Q60" s="135">
        <f t="shared" si="37"/>
        <v>0</v>
      </c>
      <c r="R60" s="135">
        <f t="shared" si="37"/>
        <v>0</v>
      </c>
      <c r="S60" s="135">
        <f t="shared" si="37"/>
        <v>0</v>
      </c>
      <c r="T60" s="135">
        <f t="shared" si="37"/>
        <v>0</v>
      </c>
      <c r="U60" s="135">
        <f t="shared" si="37"/>
        <v>0</v>
      </c>
      <c r="V60" s="135">
        <f t="shared" si="37"/>
        <v>0</v>
      </c>
      <c r="W60" s="135">
        <f t="shared" si="37"/>
        <v>0</v>
      </c>
      <c r="X60" s="135">
        <f t="shared" si="37"/>
        <v>0</v>
      </c>
      <c r="Y60" s="135">
        <f>+Y59-Y27</f>
        <v>0</v>
      </c>
      <c r="Z60" s="145">
        <f>+Z59-Z47</f>
        <v>0</v>
      </c>
    </row>
    <row r="61" spans="2:49">
      <c r="C61" s="53"/>
      <c r="D61" s="53"/>
      <c r="E61" s="31"/>
      <c r="F61" s="31"/>
      <c r="G61" s="31"/>
      <c r="H61" s="31"/>
      <c r="I61" s="31"/>
      <c r="J61" s="31"/>
      <c r="K61" s="31"/>
      <c r="L61" s="31"/>
      <c r="M61" s="31"/>
      <c r="N61" s="31"/>
      <c r="O61" s="31"/>
      <c r="P61" s="31"/>
      <c r="Q61" s="31"/>
      <c r="R61" s="31"/>
      <c r="S61" s="31"/>
      <c r="T61" s="31"/>
      <c r="U61" s="31"/>
      <c r="V61" s="31"/>
      <c r="W61" s="31"/>
      <c r="X61" s="31"/>
      <c r="Y61" s="31"/>
      <c r="Z61" s="31"/>
    </row>
    <row r="62" spans="2:49">
      <c r="C62" s="296" t="s">
        <v>73</v>
      </c>
      <c r="D62" s="296"/>
      <c r="E62" s="296"/>
      <c r="F62" s="296"/>
      <c r="G62" s="296"/>
      <c r="H62" s="296"/>
      <c r="I62" s="296"/>
      <c r="J62" s="296"/>
      <c r="K62" s="296"/>
      <c r="L62" s="296"/>
      <c r="M62" s="296"/>
      <c r="N62" s="296"/>
      <c r="O62" s="296"/>
      <c r="P62" s="296"/>
      <c r="Q62" s="296"/>
      <c r="R62" s="296"/>
      <c r="S62" s="296"/>
      <c r="T62" s="296"/>
      <c r="U62" s="296"/>
      <c r="V62" s="296"/>
      <c r="W62" s="296"/>
      <c r="X62" s="296"/>
      <c r="Y62" s="296"/>
      <c r="Z62" s="296"/>
    </row>
    <row r="63" spans="2:49" s="3" customFormat="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49">
      <c r="B64" s="61"/>
      <c r="C64" s="91" t="str">
        <f>+H7</f>
        <v>Ford Focus Electric</v>
      </c>
      <c r="D64" s="92" t="s">
        <v>194</v>
      </c>
      <c r="E64" s="156">
        <v>0</v>
      </c>
      <c r="F64" s="150">
        <v>1</v>
      </c>
      <c r="G64" s="150">
        <v>2</v>
      </c>
      <c r="H64" s="150">
        <v>3</v>
      </c>
      <c r="I64" s="150">
        <v>4</v>
      </c>
      <c r="J64" s="150">
        <v>5</v>
      </c>
      <c r="K64" s="150">
        <v>6</v>
      </c>
      <c r="L64" s="150">
        <v>7</v>
      </c>
      <c r="M64" s="150">
        <v>8</v>
      </c>
      <c r="N64" s="150">
        <v>9</v>
      </c>
      <c r="O64" s="150">
        <v>10</v>
      </c>
      <c r="P64" s="150">
        <v>11</v>
      </c>
      <c r="Q64" s="150">
        <v>12</v>
      </c>
      <c r="R64" s="150">
        <v>13</v>
      </c>
      <c r="S64" s="150">
        <v>14</v>
      </c>
      <c r="T64" s="150">
        <v>15</v>
      </c>
      <c r="U64" s="150">
        <v>16</v>
      </c>
      <c r="V64" s="150">
        <v>17</v>
      </c>
      <c r="W64" s="150">
        <v>18</v>
      </c>
      <c r="X64" s="150">
        <v>19</v>
      </c>
      <c r="Y64" s="150">
        <v>20</v>
      </c>
      <c r="Z64" s="151" t="s">
        <v>27</v>
      </c>
      <c r="AB64" s="3"/>
      <c r="AC64" s="3"/>
      <c r="AD64" s="3"/>
      <c r="AE64" s="3"/>
      <c r="AF64" s="3"/>
      <c r="AG64" s="3"/>
      <c r="AH64" s="3"/>
      <c r="AI64" s="3"/>
      <c r="AJ64" s="3"/>
      <c r="AK64" s="3"/>
      <c r="AL64" s="3"/>
      <c r="AM64" s="3"/>
      <c r="AN64" s="3"/>
      <c r="AO64" s="3"/>
      <c r="AP64" s="3"/>
      <c r="AQ64" s="3"/>
      <c r="AR64" s="3"/>
      <c r="AS64" s="3"/>
      <c r="AT64" s="3"/>
      <c r="AU64" s="3"/>
      <c r="AV64" s="3"/>
      <c r="AW64" s="3"/>
    </row>
    <row r="65" spans="2:49">
      <c r="B65" s="61" t="str">
        <f>CONCATENATE($C$64,C65)</f>
        <v>Ford Focus ElectricInvesteringskost 1</v>
      </c>
      <c r="C65" s="124" t="str">
        <f t="shared" ref="C65:D67" si="38">+C9</f>
        <v>Investeringskost 1</v>
      </c>
      <c r="D65" s="137" t="str">
        <f t="shared" si="38"/>
        <v>Bil med sommer og vinterdekk</v>
      </c>
      <c r="E65" s="95">
        <f>+H9</f>
        <v>1295000</v>
      </c>
      <c r="F65" s="95"/>
      <c r="G65" s="104"/>
      <c r="H65" s="95"/>
      <c r="I65" s="95"/>
      <c r="J65" s="95"/>
      <c r="K65" s="95"/>
      <c r="L65" s="95"/>
      <c r="M65" s="95"/>
      <c r="N65" s="95"/>
      <c r="O65" s="95"/>
      <c r="P65" s="95"/>
      <c r="Q65" s="95"/>
      <c r="R65" s="95"/>
      <c r="S65" s="95"/>
      <c r="T65" s="95"/>
      <c r="U65" s="95"/>
      <c r="V65" s="95"/>
      <c r="W65" s="95"/>
      <c r="X65" s="95"/>
      <c r="Y65" s="95"/>
      <c r="Z65" s="121"/>
      <c r="AB65" s="3"/>
      <c r="AC65" s="3"/>
      <c r="AD65" s="3"/>
      <c r="AE65" s="3"/>
      <c r="AF65" s="3"/>
      <c r="AG65" s="3"/>
      <c r="AH65" s="3"/>
      <c r="AI65" s="3"/>
      <c r="AJ65" s="3"/>
      <c r="AK65" s="3"/>
      <c r="AL65" s="3"/>
      <c r="AM65" s="3"/>
      <c r="AN65" s="3"/>
      <c r="AO65" s="3"/>
      <c r="AP65" s="3"/>
      <c r="AQ65" s="3"/>
      <c r="AR65" s="3"/>
      <c r="AS65" s="3"/>
      <c r="AT65" s="3"/>
      <c r="AU65" s="3"/>
      <c r="AV65" s="3"/>
      <c r="AW65" s="3"/>
    </row>
    <row r="66" spans="2:49">
      <c r="B66" s="61" t="str">
        <f t="shared" ref="B66:B71" si="39">CONCATENATE($C$64,C66)</f>
        <v>Ford Focus ElectricInvesteringskost 2</v>
      </c>
      <c r="C66" s="124" t="str">
        <f t="shared" si="38"/>
        <v>Investeringskost 2</v>
      </c>
      <c r="D66" s="137" t="str">
        <f t="shared" si="38"/>
        <v>Ekstrautstyr: automatgir og ryggesensor</v>
      </c>
      <c r="E66" s="95">
        <f>+H10</f>
        <v>0</v>
      </c>
      <c r="F66" s="95"/>
      <c r="G66" s="104"/>
      <c r="H66" s="95"/>
      <c r="I66" s="95"/>
      <c r="J66" s="95"/>
      <c r="K66" s="95"/>
      <c r="L66" s="95"/>
      <c r="M66" s="95"/>
      <c r="N66" s="95"/>
      <c r="O66" s="95"/>
      <c r="P66" s="95"/>
      <c r="Q66" s="95"/>
      <c r="R66" s="95"/>
      <c r="S66" s="95"/>
      <c r="T66" s="95"/>
      <c r="U66" s="95"/>
      <c r="V66" s="95"/>
      <c r="W66" s="95"/>
      <c r="X66" s="95"/>
      <c r="Y66" s="95"/>
      <c r="Z66" s="121"/>
      <c r="AB66" s="3"/>
      <c r="AC66" s="3"/>
      <c r="AD66" s="3"/>
      <c r="AE66" s="3"/>
      <c r="AF66" s="3"/>
      <c r="AG66" s="3"/>
      <c r="AH66" s="3"/>
      <c r="AI66" s="3"/>
      <c r="AJ66" s="3"/>
      <c r="AK66" s="3"/>
      <c r="AL66" s="3"/>
      <c r="AM66" s="3"/>
      <c r="AN66" s="3"/>
      <c r="AO66" s="3"/>
      <c r="AP66" s="3"/>
      <c r="AQ66" s="3"/>
      <c r="AR66" s="3"/>
      <c r="AS66" s="3"/>
      <c r="AT66" s="3"/>
      <c r="AU66" s="3"/>
      <c r="AV66" s="3"/>
      <c r="AW66" s="3"/>
    </row>
    <row r="67" spans="2:49">
      <c r="B67" s="61" t="str">
        <f t="shared" si="39"/>
        <v>Ford Focus ElectricInvesteringskost 3</v>
      </c>
      <c r="C67" s="124" t="str">
        <f t="shared" si="38"/>
        <v>Investeringskost 3</v>
      </c>
      <c r="D67" s="137" t="str">
        <f t="shared" si="38"/>
        <v>Andre investeringskostnader</v>
      </c>
      <c r="E67" s="95">
        <f>+H11</f>
        <v>0</v>
      </c>
      <c r="F67" s="95"/>
      <c r="G67" s="104"/>
      <c r="H67" s="95"/>
      <c r="I67" s="95"/>
      <c r="J67" s="95"/>
      <c r="K67" s="95"/>
      <c r="L67" s="95"/>
      <c r="M67" s="95"/>
      <c r="N67" s="95"/>
      <c r="O67" s="95"/>
      <c r="P67" s="95"/>
      <c r="Q67" s="95"/>
      <c r="R67" s="95"/>
      <c r="S67" s="95"/>
      <c r="T67" s="95"/>
      <c r="U67" s="95"/>
      <c r="V67" s="95"/>
      <c r="W67" s="95"/>
      <c r="X67" s="95"/>
      <c r="Y67" s="95"/>
      <c r="Z67" s="121"/>
      <c r="AB67" s="3"/>
      <c r="AC67" s="3"/>
      <c r="AD67" s="3"/>
      <c r="AE67" s="3"/>
      <c r="AF67" s="3"/>
      <c r="AG67" s="3"/>
      <c r="AH67" s="3"/>
      <c r="AI67" s="3"/>
      <c r="AJ67" s="3"/>
      <c r="AK67" s="3"/>
      <c r="AL67" s="3"/>
      <c r="AM67" s="3"/>
      <c r="AN67" s="3"/>
      <c r="AO67" s="3"/>
      <c r="AP67" s="3"/>
      <c r="AQ67" s="3"/>
      <c r="AR67" s="3"/>
      <c r="AS67" s="3"/>
      <c r="AT67" s="3"/>
      <c r="AU67" s="3"/>
      <c r="AV67" s="3"/>
      <c r="AW67" s="3"/>
    </row>
    <row r="68" spans="2:49">
      <c r="B68" s="61" t="str">
        <f t="shared" si="39"/>
        <v>Ford Focus ElectricDriftsutgift 1 (per år)</v>
      </c>
      <c r="C68" s="124" t="str">
        <f t="shared" ref="C68:D72" si="40">+C14</f>
        <v>Driftsutgift 1 (per år)</v>
      </c>
      <c r="D68" s="137" t="str">
        <f t="shared" si="40"/>
        <v>Forsikring</v>
      </c>
      <c r="E68" s="95"/>
      <c r="F68" s="95">
        <f t="shared" ref="F68:Y68" si="41">IF(F$25&lt;=Levetid,$H14*(1+Justert_prisstigning)^F$25,)</f>
        <v>16964.5</v>
      </c>
      <c r="G68" s="95">
        <f t="shared" si="41"/>
        <v>16964.5</v>
      </c>
      <c r="H68" s="95">
        <f t="shared" si="41"/>
        <v>16964.5</v>
      </c>
      <c r="I68" s="95">
        <f t="shared" si="41"/>
        <v>16964.5</v>
      </c>
      <c r="J68" s="95">
        <f t="shared" si="41"/>
        <v>16964.5</v>
      </c>
      <c r="K68" s="95">
        <f t="shared" si="41"/>
        <v>16964.5</v>
      </c>
      <c r="L68" s="95">
        <f t="shared" si="41"/>
        <v>0</v>
      </c>
      <c r="M68" s="95">
        <f t="shared" si="41"/>
        <v>0</v>
      </c>
      <c r="N68" s="95">
        <f t="shared" si="41"/>
        <v>0</v>
      </c>
      <c r="O68" s="95">
        <f t="shared" si="41"/>
        <v>0</v>
      </c>
      <c r="P68" s="95">
        <f t="shared" si="41"/>
        <v>0</v>
      </c>
      <c r="Q68" s="95">
        <f t="shared" si="41"/>
        <v>0</v>
      </c>
      <c r="R68" s="95">
        <f t="shared" si="41"/>
        <v>0</v>
      </c>
      <c r="S68" s="95">
        <f t="shared" si="41"/>
        <v>0</v>
      </c>
      <c r="T68" s="95">
        <f t="shared" si="41"/>
        <v>0</v>
      </c>
      <c r="U68" s="95">
        <f t="shared" si="41"/>
        <v>0</v>
      </c>
      <c r="V68" s="95">
        <f t="shared" si="41"/>
        <v>0</v>
      </c>
      <c r="W68" s="95">
        <f t="shared" si="41"/>
        <v>0</v>
      </c>
      <c r="X68" s="95">
        <f t="shared" si="41"/>
        <v>0</v>
      </c>
      <c r="Y68" s="95">
        <f t="shared" si="41"/>
        <v>0</v>
      </c>
      <c r="Z68" s="121"/>
      <c r="AB68" s="3"/>
      <c r="AC68" s="3"/>
      <c r="AD68" s="3"/>
      <c r="AE68" s="3"/>
      <c r="AF68" s="3"/>
      <c r="AG68" s="3"/>
      <c r="AH68" s="3"/>
      <c r="AI68" s="3"/>
      <c r="AJ68" s="3"/>
      <c r="AK68" s="3"/>
      <c r="AL68" s="3"/>
      <c r="AM68" s="3"/>
      <c r="AN68" s="3"/>
      <c r="AO68" s="3"/>
      <c r="AP68" s="3"/>
      <c r="AQ68" s="3"/>
      <c r="AR68" s="3"/>
      <c r="AS68" s="3"/>
      <c r="AT68" s="3"/>
      <c r="AU68" s="3"/>
      <c r="AV68" s="3"/>
      <c r="AW68" s="3"/>
    </row>
    <row r="69" spans="2:49">
      <c r="B69" s="61" t="str">
        <f t="shared" si="39"/>
        <v>Ford Focus ElectricDriftsutgift 2 (per år)</v>
      </c>
      <c r="C69" s="124" t="str">
        <f t="shared" si="40"/>
        <v>Driftsutgift 2 (per år)</v>
      </c>
      <c r="D69" s="137" t="str">
        <f t="shared" si="40"/>
        <v>Reparasjon og vedlikehold</v>
      </c>
      <c r="E69" s="95"/>
      <c r="F69" s="95">
        <f t="shared" ref="F69:Y69" si="42">IF(F$25&lt;=Levetid,$H15*(1+Justert_prisstigning)^F$25,)</f>
        <v>22015</v>
      </c>
      <c r="G69" s="95">
        <f t="shared" si="42"/>
        <v>22015</v>
      </c>
      <c r="H69" s="95">
        <f t="shared" si="42"/>
        <v>22015</v>
      </c>
      <c r="I69" s="95">
        <f t="shared" si="42"/>
        <v>22015</v>
      </c>
      <c r="J69" s="95">
        <f t="shared" si="42"/>
        <v>22015</v>
      </c>
      <c r="K69" s="95">
        <f t="shared" si="42"/>
        <v>22015</v>
      </c>
      <c r="L69" s="95">
        <f t="shared" si="42"/>
        <v>0</v>
      </c>
      <c r="M69" s="95">
        <f t="shared" si="42"/>
        <v>0</v>
      </c>
      <c r="N69" s="95">
        <f t="shared" si="42"/>
        <v>0</v>
      </c>
      <c r="O69" s="95">
        <f t="shared" si="42"/>
        <v>0</v>
      </c>
      <c r="P69" s="95">
        <f t="shared" si="42"/>
        <v>0</v>
      </c>
      <c r="Q69" s="95">
        <f t="shared" si="42"/>
        <v>0</v>
      </c>
      <c r="R69" s="95">
        <f t="shared" si="42"/>
        <v>0</v>
      </c>
      <c r="S69" s="95">
        <f t="shared" si="42"/>
        <v>0</v>
      </c>
      <c r="T69" s="95">
        <f t="shared" si="42"/>
        <v>0</v>
      </c>
      <c r="U69" s="95">
        <f t="shared" si="42"/>
        <v>0</v>
      </c>
      <c r="V69" s="95">
        <f t="shared" si="42"/>
        <v>0</v>
      </c>
      <c r="W69" s="95">
        <f t="shared" si="42"/>
        <v>0</v>
      </c>
      <c r="X69" s="95">
        <f t="shared" si="42"/>
        <v>0</v>
      </c>
      <c r="Y69" s="95">
        <f t="shared" si="42"/>
        <v>0</v>
      </c>
      <c r="Z69" s="121"/>
      <c r="AB69" s="3"/>
      <c r="AC69" s="3"/>
      <c r="AD69" s="3"/>
      <c r="AE69" s="3"/>
      <c r="AF69" s="3"/>
      <c r="AG69" s="3"/>
      <c r="AH69" s="3"/>
      <c r="AI69" s="3"/>
      <c r="AJ69" s="3"/>
      <c r="AK69" s="3"/>
      <c r="AL69" s="3"/>
      <c r="AM69" s="3"/>
      <c r="AN69" s="3"/>
      <c r="AO69" s="3"/>
      <c r="AP69" s="3"/>
      <c r="AQ69" s="3"/>
      <c r="AR69" s="3"/>
      <c r="AS69" s="3"/>
      <c r="AT69" s="3"/>
      <c r="AU69" s="3"/>
      <c r="AV69" s="3"/>
      <c r="AW69" s="3"/>
    </row>
    <row r="70" spans="2:49">
      <c r="B70" s="61" t="str">
        <f t="shared" si="39"/>
        <v>Ford Focus ElectricDriftsutgift 3 (per år)</v>
      </c>
      <c r="C70" s="124" t="str">
        <f t="shared" si="40"/>
        <v>Driftsutgift 3 (per år)</v>
      </c>
      <c r="D70" s="137" t="str">
        <f t="shared" si="40"/>
        <v>Forbruk (kjørelengde 1 400 mil årlig forbruk fra spekk/test)</v>
      </c>
      <c r="E70" s="95"/>
      <c r="F70" s="95">
        <f t="shared" ref="F70:Y70" si="43">IF(F$25&lt;=Levetid,$H16*(1+Justert_prisstigning)^F$25,)</f>
        <v>8131.2</v>
      </c>
      <c r="G70" s="95">
        <f t="shared" si="43"/>
        <v>8131.2</v>
      </c>
      <c r="H70" s="95">
        <f t="shared" si="43"/>
        <v>8131.2</v>
      </c>
      <c r="I70" s="95">
        <f t="shared" si="43"/>
        <v>8131.2</v>
      </c>
      <c r="J70" s="95">
        <f t="shared" si="43"/>
        <v>8131.2</v>
      </c>
      <c r="K70" s="95">
        <f t="shared" si="43"/>
        <v>8131.2</v>
      </c>
      <c r="L70" s="95">
        <f t="shared" si="43"/>
        <v>0</v>
      </c>
      <c r="M70" s="95">
        <f t="shared" si="43"/>
        <v>0</v>
      </c>
      <c r="N70" s="95">
        <f t="shared" si="43"/>
        <v>0</v>
      </c>
      <c r="O70" s="95">
        <f t="shared" si="43"/>
        <v>0</v>
      </c>
      <c r="P70" s="95">
        <f t="shared" si="43"/>
        <v>0</v>
      </c>
      <c r="Q70" s="95">
        <f t="shared" si="43"/>
        <v>0</v>
      </c>
      <c r="R70" s="95">
        <f t="shared" si="43"/>
        <v>0</v>
      </c>
      <c r="S70" s="95">
        <f t="shared" si="43"/>
        <v>0</v>
      </c>
      <c r="T70" s="95">
        <f t="shared" si="43"/>
        <v>0</v>
      </c>
      <c r="U70" s="95">
        <f t="shared" si="43"/>
        <v>0</v>
      </c>
      <c r="V70" s="95">
        <f t="shared" si="43"/>
        <v>0</v>
      </c>
      <c r="W70" s="95">
        <f t="shared" si="43"/>
        <v>0</v>
      </c>
      <c r="X70" s="95">
        <f t="shared" si="43"/>
        <v>0</v>
      </c>
      <c r="Y70" s="95">
        <f t="shared" si="43"/>
        <v>0</v>
      </c>
      <c r="Z70" s="121"/>
      <c r="AB70" s="3"/>
      <c r="AC70" s="3"/>
      <c r="AD70" s="3"/>
      <c r="AE70" s="3"/>
      <c r="AF70" s="3"/>
      <c r="AG70" s="3"/>
      <c r="AH70" s="3"/>
      <c r="AI70" s="3"/>
      <c r="AJ70" s="3"/>
      <c r="AK70" s="3"/>
      <c r="AL70" s="3"/>
      <c r="AM70" s="3"/>
      <c r="AN70" s="3"/>
      <c r="AO70" s="3"/>
      <c r="AP70" s="3"/>
      <c r="AQ70" s="3"/>
      <c r="AR70" s="3"/>
      <c r="AS70" s="3"/>
      <c r="AT70" s="3"/>
      <c r="AU70" s="3"/>
      <c r="AV70" s="3"/>
      <c r="AW70" s="3"/>
    </row>
    <row r="71" spans="2:49">
      <c r="B71" s="61" t="str">
        <f t="shared" si="39"/>
        <v>Ford Focus ElectricDriftsutgift 4 (per år)</v>
      </c>
      <c r="C71" s="124" t="str">
        <f t="shared" si="40"/>
        <v>Driftsutgift 4 (per år)</v>
      </c>
      <c r="D71" s="137" t="str">
        <f t="shared" si="40"/>
        <v>Årsavgift</v>
      </c>
      <c r="E71" s="95"/>
      <c r="F71" s="95">
        <f t="shared" ref="F71:Y71" si="44">IF(F$25&lt;=Levetid,$H17*(1+Justert_prisstigning)^F$25,)</f>
        <v>2275</v>
      </c>
      <c r="G71" s="95">
        <f t="shared" si="44"/>
        <v>2275</v>
      </c>
      <c r="H71" s="95">
        <f t="shared" si="44"/>
        <v>2275</v>
      </c>
      <c r="I71" s="95">
        <f t="shared" si="44"/>
        <v>2275</v>
      </c>
      <c r="J71" s="95">
        <f t="shared" si="44"/>
        <v>2275</v>
      </c>
      <c r="K71" s="95">
        <f t="shared" si="44"/>
        <v>2275</v>
      </c>
      <c r="L71" s="95">
        <f t="shared" si="44"/>
        <v>0</v>
      </c>
      <c r="M71" s="95">
        <f t="shared" si="44"/>
        <v>0</v>
      </c>
      <c r="N71" s="95">
        <f t="shared" si="44"/>
        <v>0</v>
      </c>
      <c r="O71" s="95">
        <f t="shared" si="44"/>
        <v>0</v>
      </c>
      <c r="P71" s="95">
        <f t="shared" si="44"/>
        <v>0</v>
      </c>
      <c r="Q71" s="95">
        <f t="shared" si="44"/>
        <v>0</v>
      </c>
      <c r="R71" s="95">
        <f t="shared" si="44"/>
        <v>0</v>
      </c>
      <c r="S71" s="95">
        <f t="shared" si="44"/>
        <v>0</v>
      </c>
      <c r="T71" s="95">
        <f t="shared" si="44"/>
        <v>0</v>
      </c>
      <c r="U71" s="95">
        <f t="shared" si="44"/>
        <v>0</v>
      </c>
      <c r="V71" s="95">
        <f t="shared" si="44"/>
        <v>0</v>
      </c>
      <c r="W71" s="95">
        <f t="shared" si="44"/>
        <v>0</v>
      </c>
      <c r="X71" s="95">
        <f t="shared" si="44"/>
        <v>0</v>
      </c>
      <c r="Y71" s="95">
        <f t="shared" si="44"/>
        <v>0</v>
      </c>
      <c r="Z71" s="121"/>
      <c r="AB71" s="3"/>
      <c r="AC71" s="3"/>
      <c r="AD71" s="3"/>
      <c r="AE71" s="3"/>
      <c r="AF71" s="3"/>
      <c r="AG71" s="3"/>
      <c r="AH71" s="3"/>
      <c r="AI71" s="3"/>
      <c r="AJ71" s="3"/>
      <c r="AK71" s="3"/>
      <c r="AL71" s="3"/>
      <c r="AM71" s="3"/>
      <c r="AN71" s="3"/>
      <c r="AO71" s="3"/>
      <c r="AP71" s="3"/>
      <c r="AQ71" s="3"/>
      <c r="AR71" s="3"/>
      <c r="AS71" s="3"/>
      <c r="AT71" s="3"/>
      <c r="AU71" s="3"/>
      <c r="AV71" s="3"/>
      <c r="AW71" s="3"/>
    </row>
    <row r="72" spans="2:49">
      <c r="B72" s="61" t="str">
        <f>CONCATENATE($C$64,C72)</f>
        <v>Ford Focus ElectricDriftsutgift 5 (per år)</v>
      </c>
      <c r="C72" s="124" t="str">
        <f t="shared" si="40"/>
        <v>Driftsutgift 5 (per år)</v>
      </c>
      <c r="D72" s="137" t="str">
        <f t="shared" si="40"/>
        <v>Andre driftskostnader</v>
      </c>
      <c r="E72" s="95"/>
      <c r="F72" s="95">
        <f t="shared" ref="F72:Y72" si="45">IF(F$25&lt;=Levetid,$H18*(1+Justert_prisstigning)^F$25,)</f>
        <v>0</v>
      </c>
      <c r="G72" s="95">
        <f t="shared" si="45"/>
        <v>0</v>
      </c>
      <c r="H72" s="95">
        <f t="shared" si="45"/>
        <v>0</v>
      </c>
      <c r="I72" s="95">
        <f t="shared" si="45"/>
        <v>0</v>
      </c>
      <c r="J72" s="95">
        <f t="shared" si="45"/>
        <v>0</v>
      </c>
      <c r="K72" s="95">
        <f t="shared" si="45"/>
        <v>0</v>
      </c>
      <c r="L72" s="95">
        <f t="shared" si="45"/>
        <v>0</v>
      </c>
      <c r="M72" s="95">
        <f t="shared" si="45"/>
        <v>0</v>
      </c>
      <c r="N72" s="95">
        <f t="shared" si="45"/>
        <v>0</v>
      </c>
      <c r="O72" s="95">
        <f t="shared" si="45"/>
        <v>0</v>
      </c>
      <c r="P72" s="95">
        <f t="shared" si="45"/>
        <v>0</v>
      </c>
      <c r="Q72" s="95">
        <f t="shared" si="45"/>
        <v>0</v>
      </c>
      <c r="R72" s="95">
        <f t="shared" si="45"/>
        <v>0</v>
      </c>
      <c r="S72" s="95">
        <f t="shared" si="45"/>
        <v>0</v>
      </c>
      <c r="T72" s="95">
        <f t="shared" si="45"/>
        <v>0</v>
      </c>
      <c r="U72" s="95">
        <f t="shared" si="45"/>
        <v>0</v>
      </c>
      <c r="V72" s="95">
        <f t="shared" si="45"/>
        <v>0</v>
      </c>
      <c r="W72" s="95">
        <f t="shared" si="45"/>
        <v>0</v>
      </c>
      <c r="X72" s="95">
        <f t="shared" si="45"/>
        <v>0</v>
      </c>
      <c r="Y72" s="95">
        <f t="shared" si="45"/>
        <v>0</v>
      </c>
      <c r="Z72" s="121"/>
      <c r="AB72" s="3"/>
      <c r="AC72" s="3"/>
      <c r="AD72" s="3"/>
      <c r="AE72" s="3"/>
      <c r="AF72" s="3"/>
      <c r="AG72" s="3"/>
      <c r="AH72" s="3"/>
      <c r="AI72" s="3"/>
      <c r="AJ72" s="3"/>
      <c r="AK72" s="3"/>
      <c r="AL72" s="3"/>
      <c r="AM72" s="3"/>
      <c r="AN72" s="3"/>
      <c r="AO72" s="3"/>
      <c r="AP72" s="3"/>
      <c r="AQ72" s="3"/>
      <c r="AR72" s="3"/>
      <c r="AS72" s="3"/>
      <c r="AT72" s="3"/>
      <c r="AU72" s="3"/>
      <c r="AV72" s="3"/>
      <c r="AW72" s="3"/>
    </row>
    <row r="73" spans="2:49">
      <c r="B73" s="61" t="str">
        <f>CONCATENATE($C$64,C73)</f>
        <v>Ford Focus ElectricAvhendingskostnader/restverdier</v>
      </c>
      <c r="C73" s="124" t="str">
        <f>+C21</f>
        <v>Avhendingskostnader/restverdier</v>
      </c>
      <c r="D73" s="137" t="str">
        <f>+D21</f>
        <v>Avhendingsutgifter - salgsinntekter</v>
      </c>
      <c r="E73" s="95">
        <f t="shared" ref="E73:Y73" si="46">IF(Levetid=E25,$H$21*(1+Justert_prisstigning)^E25,)</f>
        <v>0</v>
      </c>
      <c r="F73" s="95">
        <f t="shared" si="46"/>
        <v>0</v>
      </c>
      <c r="G73" s="95">
        <f t="shared" si="46"/>
        <v>0</v>
      </c>
      <c r="H73" s="95">
        <f t="shared" si="46"/>
        <v>0</v>
      </c>
      <c r="I73" s="95">
        <f t="shared" si="46"/>
        <v>0</v>
      </c>
      <c r="J73" s="95">
        <f t="shared" si="46"/>
        <v>0</v>
      </c>
      <c r="K73" s="95">
        <f t="shared" si="46"/>
        <v>-215833.33333333331</v>
      </c>
      <c r="L73" s="95">
        <f t="shared" si="46"/>
        <v>0</v>
      </c>
      <c r="M73" s="95">
        <f t="shared" si="46"/>
        <v>0</v>
      </c>
      <c r="N73" s="95">
        <f t="shared" si="46"/>
        <v>0</v>
      </c>
      <c r="O73" s="95">
        <f t="shared" si="46"/>
        <v>0</v>
      </c>
      <c r="P73" s="95">
        <f t="shared" si="46"/>
        <v>0</v>
      </c>
      <c r="Q73" s="95">
        <f t="shared" si="46"/>
        <v>0</v>
      </c>
      <c r="R73" s="95">
        <f t="shared" si="46"/>
        <v>0</v>
      </c>
      <c r="S73" s="95">
        <f t="shared" si="46"/>
        <v>0</v>
      </c>
      <c r="T73" s="95">
        <f t="shared" si="46"/>
        <v>0</v>
      </c>
      <c r="U73" s="95">
        <f t="shared" si="46"/>
        <v>0</v>
      </c>
      <c r="V73" s="95">
        <f t="shared" si="46"/>
        <v>0</v>
      </c>
      <c r="W73" s="95">
        <f t="shared" si="46"/>
        <v>0</v>
      </c>
      <c r="X73" s="95">
        <f t="shared" si="46"/>
        <v>0</v>
      </c>
      <c r="Y73" s="95">
        <f t="shared" si="46"/>
        <v>0</v>
      </c>
      <c r="Z73" s="121"/>
      <c r="AB73" s="3"/>
      <c r="AC73" s="3"/>
      <c r="AD73" s="3"/>
      <c r="AE73" s="3"/>
      <c r="AF73" s="3"/>
      <c r="AG73" s="3"/>
      <c r="AH73" s="3"/>
      <c r="AI73" s="3"/>
      <c r="AJ73" s="3"/>
      <c r="AK73" s="3"/>
      <c r="AL73" s="3"/>
      <c r="AM73" s="3"/>
      <c r="AN73" s="3"/>
      <c r="AO73" s="3"/>
      <c r="AP73" s="3"/>
      <c r="AQ73" s="3"/>
      <c r="AR73" s="3"/>
      <c r="AS73" s="3"/>
      <c r="AT73" s="3"/>
      <c r="AU73" s="3"/>
      <c r="AV73" s="3"/>
      <c r="AW73" s="3"/>
    </row>
    <row r="74" spans="2:49">
      <c r="C74" s="139"/>
      <c r="D74" s="95" t="s">
        <v>28</v>
      </c>
      <c r="E74" s="95">
        <f>SUM(E65:E73)</f>
        <v>1295000</v>
      </c>
      <c r="F74" s="95">
        <f>SUM(F65:F73)</f>
        <v>49385.7</v>
      </c>
      <c r="G74" s="95">
        <f t="shared" ref="G74:X74" si="47">SUM(G65:G73)</f>
        <v>49385.7</v>
      </c>
      <c r="H74" s="95">
        <f t="shared" si="47"/>
        <v>49385.7</v>
      </c>
      <c r="I74" s="95">
        <f t="shared" si="47"/>
        <v>49385.7</v>
      </c>
      <c r="J74" s="95">
        <f t="shared" si="47"/>
        <v>49385.7</v>
      </c>
      <c r="K74" s="95">
        <f>SUM(K65:K73)</f>
        <v>-166447.6333333333</v>
      </c>
      <c r="L74" s="95">
        <f t="shared" si="47"/>
        <v>0</v>
      </c>
      <c r="M74" s="95">
        <f t="shared" si="47"/>
        <v>0</v>
      </c>
      <c r="N74" s="95">
        <f t="shared" si="47"/>
        <v>0</v>
      </c>
      <c r="O74" s="95">
        <f t="shared" si="47"/>
        <v>0</v>
      </c>
      <c r="P74" s="95">
        <f t="shared" si="47"/>
        <v>0</v>
      </c>
      <c r="Q74" s="95">
        <f t="shared" si="47"/>
        <v>0</v>
      </c>
      <c r="R74" s="95">
        <f t="shared" si="47"/>
        <v>0</v>
      </c>
      <c r="S74" s="95">
        <f t="shared" si="47"/>
        <v>0</v>
      </c>
      <c r="T74" s="95">
        <f t="shared" si="47"/>
        <v>0</v>
      </c>
      <c r="U74" s="95">
        <f t="shared" si="47"/>
        <v>0</v>
      </c>
      <c r="V74" s="95">
        <f t="shared" si="47"/>
        <v>0</v>
      </c>
      <c r="W74" s="95">
        <f t="shared" si="47"/>
        <v>0</v>
      </c>
      <c r="X74" s="95">
        <f t="shared" si="47"/>
        <v>0</v>
      </c>
      <c r="Y74" s="95">
        <f>SUM(Y65:Y73)</f>
        <v>0</v>
      </c>
      <c r="Z74" s="121"/>
      <c r="AB74" s="3"/>
      <c r="AC74" s="3"/>
      <c r="AD74" s="3"/>
      <c r="AE74" s="3"/>
      <c r="AF74" s="3"/>
      <c r="AG74" s="3"/>
      <c r="AH74" s="3"/>
      <c r="AI74" s="3"/>
      <c r="AJ74" s="3"/>
      <c r="AK74" s="3"/>
      <c r="AL74" s="3"/>
      <c r="AM74" s="3"/>
      <c r="AN74" s="3"/>
      <c r="AO74" s="3"/>
      <c r="AP74" s="3"/>
      <c r="AQ74" s="3"/>
      <c r="AR74" s="3"/>
      <c r="AS74" s="3"/>
      <c r="AT74" s="3"/>
      <c r="AU74" s="3"/>
      <c r="AV74" s="3"/>
      <c r="AW74" s="3"/>
    </row>
    <row r="75" spans="2:49">
      <c r="C75" s="140"/>
      <c r="D75" s="95" t="s">
        <v>21</v>
      </c>
      <c r="E75" s="95">
        <f>+E74*E$23</f>
        <v>1295000</v>
      </c>
      <c r="F75" s="95">
        <f>+F74*F$23</f>
        <v>47486.249999999993</v>
      </c>
      <c r="G75" s="95">
        <f>+G74*G$23</f>
        <v>45659.855769230759</v>
      </c>
      <c r="H75" s="95">
        <f>+H74*H$23</f>
        <v>43903.7074704142</v>
      </c>
      <c r="I75" s="95">
        <f t="shared" ref="I75:Y75" si="48">+I74*I$23</f>
        <v>42215.103336936721</v>
      </c>
      <c r="J75" s="95">
        <f t="shared" si="48"/>
        <v>40591.445516285305</v>
      </c>
      <c r="K75" s="95">
        <f>+K74*K$23</f>
        <v>-131545.98239673849</v>
      </c>
      <c r="L75" s="95">
        <f t="shared" si="48"/>
        <v>0</v>
      </c>
      <c r="M75" s="95">
        <f t="shared" si="48"/>
        <v>0</v>
      </c>
      <c r="N75" s="95">
        <f t="shared" si="48"/>
        <v>0</v>
      </c>
      <c r="O75" s="95">
        <f t="shared" si="48"/>
        <v>0</v>
      </c>
      <c r="P75" s="95">
        <f t="shared" si="48"/>
        <v>0</v>
      </c>
      <c r="Q75" s="95">
        <f t="shared" si="48"/>
        <v>0</v>
      </c>
      <c r="R75" s="95">
        <f t="shared" si="48"/>
        <v>0</v>
      </c>
      <c r="S75" s="95">
        <f t="shared" si="48"/>
        <v>0</v>
      </c>
      <c r="T75" s="95">
        <f t="shared" si="48"/>
        <v>0</v>
      </c>
      <c r="U75" s="95">
        <f t="shared" si="48"/>
        <v>0</v>
      </c>
      <c r="V75" s="95">
        <f t="shared" si="48"/>
        <v>0</v>
      </c>
      <c r="W75" s="95">
        <f t="shared" si="48"/>
        <v>0</v>
      </c>
      <c r="X75" s="95">
        <f t="shared" si="48"/>
        <v>0</v>
      </c>
      <c r="Y75" s="95">
        <f t="shared" si="48"/>
        <v>0</v>
      </c>
      <c r="Z75" s="121">
        <f>SUM(E75:Y75)</f>
        <v>1383310.3796961284</v>
      </c>
      <c r="AB75" s="3"/>
      <c r="AC75" s="3"/>
      <c r="AD75" s="3"/>
      <c r="AE75" s="3"/>
      <c r="AF75" s="3"/>
      <c r="AG75" s="3"/>
      <c r="AH75" s="3"/>
      <c r="AI75" s="3"/>
      <c r="AJ75" s="3"/>
      <c r="AK75" s="3"/>
      <c r="AL75" s="3"/>
      <c r="AM75" s="3"/>
      <c r="AN75" s="3"/>
      <c r="AO75" s="3"/>
      <c r="AP75" s="3"/>
      <c r="AQ75" s="3"/>
      <c r="AR75" s="3"/>
      <c r="AS75" s="3"/>
      <c r="AT75" s="3"/>
      <c r="AU75" s="3"/>
      <c r="AV75" s="3"/>
      <c r="AW75" s="3"/>
    </row>
    <row r="76" spans="2:49">
      <c r="C76" s="140"/>
      <c r="D76" s="95" t="s">
        <v>159</v>
      </c>
      <c r="E76" s="95">
        <f t="shared" ref="E76:Y76" si="49">+E73*E$23</f>
        <v>0</v>
      </c>
      <c r="F76" s="95">
        <f t="shared" si="49"/>
        <v>0</v>
      </c>
      <c r="G76" s="95">
        <f t="shared" si="49"/>
        <v>0</v>
      </c>
      <c r="H76" s="95">
        <f t="shared" si="49"/>
        <v>0</v>
      </c>
      <c r="I76" s="95">
        <f>+I73*I$23</f>
        <v>0</v>
      </c>
      <c r="J76" s="95">
        <f t="shared" si="49"/>
        <v>0</v>
      </c>
      <c r="K76" s="95">
        <f>+K73*K$23</f>
        <v>-170576.21847008978</v>
      </c>
      <c r="L76" s="95">
        <f t="shared" si="49"/>
        <v>0</v>
      </c>
      <c r="M76" s="95">
        <f t="shared" si="49"/>
        <v>0</v>
      </c>
      <c r="N76" s="95">
        <f t="shared" si="49"/>
        <v>0</v>
      </c>
      <c r="O76" s="95">
        <f t="shared" si="49"/>
        <v>0</v>
      </c>
      <c r="P76" s="95">
        <f t="shared" si="49"/>
        <v>0</v>
      </c>
      <c r="Q76" s="95">
        <f t="shared" si="49"/>
        <v>0</v>
      </c>
      <c r="R76" s="95">
        <f t="shared" si="49"/>
        <v>0</v>
      </c>
      <c r="S76" s="95">
        <f t="shared" si="49"/>
        <v>0</v>
      </c>
      <c r="T76" s="95">
        <f t="shared" si="49"/>
        <v>0</v>
      </c>
      <c r="U76" s="95">
        <f t="shared" si="49"/>
        <v>0</v>
      </c>
      <c r="V76" s="95">
        <f t="shared" si="49"/>
        <v>0</v>
      </c>
      <c r="W76" s="95">
        <f t="shared" si="49"/>
        <v>0</v>
      </c>
      <c r="X76" s="95">
        <f t="shared" si="49"/>
        <v>0</v>
      </c>
      <c r="Y76" s="95">
        <f t="shared" si="49"/>
        <v>0</v>
      </c>
      <c r="Z76" s="121"/>
      <c r="AB76" s="3"/>
      <c r="AC76" s="3"/>
      <c r="AD76" s="3"/>
      <c r="AE76" s="3"/>
      <c r="AF76" s="3"/>
      <c r="AG76" s="3"/>
      <c r="AH76" s="3"/>
      <c r="AI76" s="3"/>
      <c r="AJ76" s="3"/>
      <c r="AK76" s="3"/>
      <c r="AL76" s="3"/>
      <c r="AM76" s="3"/>
      <c r="AN76" s="3"/>
      <c r="AO76" s="3"/>
      <c r="AP76" s="3"/>
      <c r="AQ76" s="3"/>
      <c r="AR76" s="3"/>
      <c r="AS76" s="3"/>
      <c r="AT76" s="3"/>
      <c r="AU76" s="3"/>
      <c r="AV76" s="3"/>
      <c r="AW76" s="3"/>
    </row>
    <row r="77" spans="2:49">
      <c r="C77" s="146"/>
      <c r="D77" s="135" t="s">
        <v>27</v>
      </c>
      <c r="E77" s="135">
        <f t="shared" ref="E77:Z77" si="50">+E75-E$28</f>
        <v>0</v>
      </c>
      <c r="F77" s="135">
        <f t="shared" si="50"/>
        <v>0</v>
      </c>
      <c r="G77" s="135">
        <f t="shared" si="50"/>
        <v>0</v>
      </c>
      <c r="H77" s="135">
        <f t="shared" si="50"/>
        <v>0</v>
      </c>
      <c r="I77" s="135">
        <f t="shared" si="50"/>
        <v>0</v>
      </c>
      <c r="J77" s="135">
        <f t="shared" si="50"/>
        <v>0</v>
      </c>
      <c r="K77" s="135">
        <f t="shared" si="50"/>
        <v>0</v>
      </c>
      <c r="L77" s="135">
        <f t="shared" si="50"/>
        <v>0</v>
      </c>
      <c r="M77" s="135">
        <f t="shared" si="50"/>
        <v>0</v>
      </c>
      <c r="N77" s="135">
        <f t="shared" si="50"/>
        <v>0</v>
      </c>
      <c r="O77" s="135">
        <f t="shared" si="50"/>
        <v>0</v>
      </c>
      <c r="P77" s="135">
        <f t="shared" si="50"/>
        <v>0</v>
      </c>
      <c r="Q77" s="135">
        <f t="shared" si="50"/>
        <v>0</v>
      </c>
      <c r="R77" s="135">
        <f t="shared" si="50"/>
        <v>0</v>
      </c>
      <c r="S77" s="135">
        <f t="shared" si="50"/>
        <v>0</v>
      </c>
      <c r="T77" s="135">
        <f t="shared" si="50"/>
        <v>0</v>
      </c>
      <c r="U77" s="135">
        <f t="shared" si="50"/>
        <v>0</v>
      </c>
      <c r="V77" s="135">
        <f t="shared" si="50"/>
        <v>0</v>
      </c>
      <c r="W77" s="135">
        <f t="shared" si="50"/>
        <v>0</v>
      </c>
      <c r="X77" s="135">
        <f t="shared" si="50"/>
        <v>0</v>
      </c>
      <c r="Y77" s="135">
        <f t="shared" si="50"/>
        <v>0</v>
      </c>
      <c r="Z77" s="145">
        <f t="shared" si="50"/>
        <v>0</v>
      </c>
      <c r="AB77" s="3"/>
      <c r="AC77" s="3"/>
      <c r="AD77" s="3"/>
      <c r="AE77" s="3"/>
      <c r="AF77" s="3"/>
      <c r="AG77" s="3"/>
      <c r="AH77" s="3"/>
      <c r="AI77" s="3"/>
      <c r="AJ77" s="3"/>
      <c r="AK77" s="3"/>
      <c r="AL77" s="3"/>
      <c r="AM77" s="3"/>
      <c r="AN77" s="3"/>
      <c r="AO77" s="3"/>
      <c r="AP77" s="3"/>
      <c r="AQ77" s="3"/>
      <c r="AR77" s="3"/>
      <c r="AS77" s="3"/>
      <c r="AT77" s="3"/>
      <c r="AU77" s="3"/>
      <c r="AV77" s="3"/>
      <c r="AW77" s="3"/>
    </row>
    <row r="78" spans="2:49">
      <c r="C78" s="34"/>
      <c r="D78" s="36"/>
      <c r="E78" s="36"/>
      <c r="F78" s="36"/>
      <c r="G78" s="36"/>
      <c r="H78" s="36"/>
      <c r="I78" s="36"/>
      <c r="J78" s="36"/>
      <c r="K78" s="36"/>
      <c r="L78" s="36"/>
      <c r="M78" s="36"/>
      <c r="N78" s="36"/>
      <c r="O78" s="36"/>
      <c r="P78" s="36"/>
      <c r="Q78" s="36"/>
      <c r="R78" s="36"/>
      <c r="S78" s="36"/>
      <c r="T78" s="36"/>
      <c r="U78" s="36"/>
      <c r="V78" s="36"/>
      <c r="W78" s="36"/>
      <c r="X78" s="36"/>
      <c r="Y78" s="36"/>
      <c r="Z78" s="31"/>
      <c r="AB78" s="3"/>
      <c r="AC78" s="3"/>
      <c r="AD78" s="3"/>
      <c r="AE78" s="3"/>
      <c r="AF78" s="3"/>
      <c r="AG78" s="3"/>
      <c r="AH78" s="3"/>
      <c r="AI78" s="3"/>
      <c r="AJ78" s="3"/>
      <c r="AK78" s="3"/>
      <c r="AL78" s="3"/>
      <c r="AM78" s="3"/>
      <c r="AN78" s="3"/>
      <c r="AO78" s="3"/>
      <c r="AP78" s="3"/>
      <c r="AQ78" s="3"/>
      <c r="AR78" s="3"/>
      <c r="AS78" s="3"/>
      <c r="AT78" s="3"/>
      <c r="AU78" s="3"/>
      <c r="AV78" s="3"/>
      <c r="AW78" s="3"/>
    </row>
    <row r="79" spans="2:49">
      <c r="B79" s="61"/>
      <c r="C79" s="91" t="str">
        <f>+I7</f>
        <v>Opel Ampera-e</v>
      </c>
      <c r="D79" s="92" t="s">
        <v>194</v>
      </c>
      <c r="E79" s="150">
        <v>0</v>
      </c>
      <c r="F79" s="150">
        <v>1</v>
      </c>
      <c r="G79" s="150">
        <v>2</v>
      </c>
      <c r="H79" s="150">
        <v>3</v>
      </c>
      <c r="I79" s="150">
        <v>4</v>
      </c>
      <c r="J79" s="150">
        <v>5</v>
      </c>
      <c r="K79" s="150">
        <v>6</v>
      </c>
      <c r="L79" s="150">
        <v>7</v>
      </c>
      <c r="M79" s="150">
        <v>8</v>
      </c>
      <c r="N79" s="150">
        <v>9</v>
      </c>
      <c r="O79" s="150">
        <v>10</v>
      </c>
      <c r="P79" s="150">
        <v>11</v>
      </c>
      <c r="Q79" s="150">
        <v>12</v>
      </c>
      <c r="R79" s="150">
        <v>13</v>
      </c>
      <c r="S79" s="150">
        <v>14</v>
      </c>
      <c r="T79" s="150">
        <v>15</v>
      </c>
      <c r="U79" s="150">
        <v>16</v>
      </c>
      <c r="V79" s="150">
        <v>17</v>
      </c>
      <c r="W79" s="150">
        <v>18</v>
      </c>
      <c r="X79" s="150">
        <v>19</v>
      </c>
      <c r="Y79" s="150">
        <v>20</v>
      </c>
      <c r="Z79" s="151"/>
      <c r="AB79" s="3"/>
      <c r="AC79" s="3"/>
      <c r="AD79" s="3"/>
      <c r="AE79" s="3"/>
      <c r="AF79" s="3"/>
      <c r="AG79" s="3"/>
      <c r="AH79" s="3"/>
      <c r="AI79" s="3"/>
      <c r="AJ79" s="3"/>
      <c r="AK79" s="3"/>
      <c r="AL79" s="3"/>
      <c r="AM79" s="3"/>
      <c r="AN79" s="3"/>
      <c r="AO79" s="3"/>
      <c r="AP79" s="3"/>
      <c r="AQ79" s="3"/>
      <c r="AR79" s="3"/>
      <c r="AS79" s="3"/>
      <c r="AT79" s="3"/>
      <c r="AU79" s="3"/>
      <c r="AV79" s="3"/>
      <c r="AW79" s="3"/>
    </row>
    <row r="80" spans="2:49">
      <c r="B80" s="61" t="str">
        <f>CONCATENATE($C$79,C80)</f>
        <v>Opel Ampera-eInvesteringskost 1</v>
      </c>
      <c r="C80" s="124" t="str">
        <f t="shared" ref="C80:D82" si="51">+C9</f>
        <v>Investeringskost 1</v>
      </c>
      <c r="D80" s="137" t="str">
        <f t="shared" si="51"/>
        <v>Bil med sommer og vinterdekk</v>
      </c>
      <c r="E80" s="95">
        <f>+I9</f>
        <v>1449500</v>
      </c>
      <c r="F80" s="95"/>
      <c r="G80" s="104"/>
      <c r="H80" s="95"/>
      <c r="I80" s="95"/>
      <c r="J80" s="95"/>
      <c r="K80" s="95"/>
      <c r="L80" s="95"/>
      <c r="M80" s="95"/>
      <c r="N80" s="95"/>
      <c r="O80" s="95"/>
      <c r="P80" s="95"/>
      <c r="Q80" s="95"/>
      <c r="R80" s="95"/>
      <c r="S80" s="95"/>
      <c r="T80" s="95"/>
      <c r="U80" s="95"/>
      <c r="V80" s="95"/>
      <c r="W80" s="95"/>
      <c r="X80" s="95"/>
      <c r="Y80" s="95"/>
      <c r="Z80" s="121"/>
      <c r="AB80" s="3"/>
      <c r="AC80" s="3"/>
      <c r="AD80" s="3"/>
      <c r="AE80" s="3"/>
      <c r="AF80" s="3"/>
      <c r="AG80" s="3"/>
      <c r="AH80" s="3"/>
      <c r="AI80" s="3"/>
      <c r="AJ80" s="3"/>
      <c r="AK80" s="3"/>
      <c r="AL80" s="3"/>
      <c r="AM80" s="3"/>
      <c r="AN80" s="3"/>
      <c r="AO80" s="3"/>
      <c r="AP80" s="3"/>
      <c r="AQ80" s="3"/>
      <c r="AR80" s="3"/>
      <c r="AS80" s="3"/>
      <c r="AT80" s="3"/>
      <c r="AU80" s="3"/>
      <c r="AV80" s="3"/>
      <c r="AW80" s="3"/>
    </row>
    <row r="81" spans="2:49">
      <c r="B81" s="61" t="str">
        <f t="shared" ref="B81:B88" si="52">CONCATENATE($C$79,C81)</f>
        <v>Opel Ampera-eInvesteringskost 2</v>
      </c>
      <c r="C81" s="124" t="str">
        <f t="shared" si="51"/>
        <v>Investeringskost 2</v>
      </c>
      <c r="D81" s="137" t="str">
        <f t="shared" si="51"/>
        <v>Ekstrautstyr: automatgir og ryggesensor</v>
      </c>
      <c r="E81" s="95">
        <f>+I10</f>
        <v>0</v>
      </c>
      <c r="F81" s="95"/>
      <c r="G81" s="104"/>
      <c r="H81" s="95"/>
      <c r="I81" s="95"/>
      <c r="J81" s="95"/>
      <c r="K81" s="95"/>
      <c r="L81" s="95"/>
      <c r="M81" s="95"/>
      <c r="N81" s="95"/>
      <c r="O81" s="95"/>
      <c r="P81" s="95"/>
      <c r="Q81" s="95"/>
      <c r="R81" s="95"/>
      <c r="S81" s="95"/>
      <c r="T81" s="95"/>
      <c r="U81" s="95"/>
      <c r="V81" s="95"/>
      <c r="W81" s="95"/>
      <c r="X81" s="95"/>
      <c r="Y81" s="95"/>
      <c r="Z81" s="121"/>
      <c r="AB81" s="3"/>
      <c r="AC81" s="3"/>
      <c r="AD81" s="3"/>
      <c r="AE81" s="3"/>
      <c r="AF81" s="3"/>
      <c r="AG81" s="3"/>
      <c r="AH81" s="3"/>
      <c r="AI81" s="3"/>
      <c r="AJ81" s="3"/>
      <c r="AK81" s="3"/>
      <c r="AL81" s="3"/>
      <c r="AM81" s="3"/>
      <c r="AN81" s="3"/>
      <c r="AO81" s="3"/>
      <c r="AP81" s="3"/>
      <c r="AQ81" s="3"/>
      <c r="AR81" s="3"/>
      <c r="AS81" s="3"/>
      <c r="AT81" s="3"/>
      <c r="AU81" s="3"/>
      <c r="AV81" s="3"/>
      <c r="AW81" s="3"/>
    </row>
    <row r="82" spans="2:49">
      <c r="B82" s="61" t="str">
        <f t="shared" si="52"/>
        <v>Opel Ampera-eInvesteringskost 3</v>
      </c>
      <c r="C82" s="124" t="str">
        <f t="shared" si="51"/>
        <v>Investeringskost 3</v>
      </c>
      <c r="D82" s="137" t="str">
        <f t="shared" si="51"/>
        <v>Andre investeringskostnader</v>
      </c>
      <c r="E82" s="95">
        <f>+I11</f>
        <v>0</v>
      </c>
      <c r="F82" s="95"/>
      <c r="G82" s="104"/>
      <c r="H82" s="95"/>
      <c r="I82" s="95"/>
      <c r="J82" s="95"/>
      <c r="K82" s="95"/>
      <c r="L82" s="95"/>
      <c r="M82" s="95"/>
      <c r="N82" s="95"/>
      <c r="O82" s="95"/>
      <c r="P82" s="95"/>
      <c r="Q82" s="95"/>
      <c r="R82" s="95"/>
      <c r="S82" s="95"/>
      <c r="T82" s="95"/>
      <c r="U82" s="95"/>
      <c r="V82" s="95"/>
      <c r="W82" s="95"/>
      <c r="X82" s="95"/>
      <c r="Y82" s="95"/>
      <c r="Z82" s="121"/>
      <c r="AB82" s="3"/>
      <c r="AC82" s="3"/>
      <c r="AD82" s="3"/>
      <c r="AE82" s="3"/>
      <c r="AF82" s="3"/>
      <c r="AG82" s="3"/>
      <c r="AH82" s="3"/>
      <c r="AI82" s="3"/>
      <c r="AJ82" s="3"/>
      <c r="AK82" s="3"/>
      <c r="AL82" s="3"/>
      <c r="AM82" s="3"/>
      <c r="AN82" s="3"/>
      <c r="AO82" s="3"/>
      <c r="AP82" s="3"/>
      <c r="AQ82" s="3"/>
      <c r="AR82" s="3"/>
      <c r="AS82" s="3"/>
      <c r="AT82" s="3"/>
      <c r="AU82" s="3"/>
      <c r="AV82" s="3"/>
      <c r="AW82" s="3"/>
    </row>
    <row r="83" spans="2:49">
      <c r="B83" s="61" t="str">
        <f t="shared" si="52"/>
        <v>Opel Ampera-eDriftsutgift 1 (per år)</v>
      </c>
      <c r="C83" s="124" t="str">
        <f t="shared" ref="C83:D87" si="53">+C14</f>
        <v>Driftsutgift 1 (per år)</v>
      </c>
      <c r="D83" s="137" t="str">
        <f t="shared" si="53"/>
        <v>Forsikring</v>
      </c>
      <c r="E83" s="95"/>
      <c r="F83" s="95">
        <f t="shared" ref="F83:Y83" si="54">IF(F$25&lt;=Levetid,$I14*(1+Justert_prisstigning)^F$25,)</f>
        <v>18988.45</v>
      </c>
      <c r="G83" s="95">
        <f t="shared" si="54"/>
        <v>18988.45</v>
      </c>
      <c r="H83" s="95">
        <f t="shared" si="54"/>
        <v>18988.45</v>
      </c>
      <c r="I83" s="95">
        <f t="shared" si="54"/>
        <v>18988.45</v>
      </c>
      <c r="J83" s="95">
        <f t="shared" si="54"/>
        <v>18988.45</v>
      </c>
      <c r="K83" s="95">
        <f t="shared" si="54"/>
        <v>18988.45</v>
      </c>
      <c r="L83" s="95">
        <f t="shared" si="54"/>
        <v>0</v>
      </c>
      <c r="M83" s="95">
        <f t="shared" si="54"/>
        <v>0</v>
      </c>
      <c r="N83" s="95">
        <f t="shared" si="54"/>
        <v>0</v>
      </c>
      <c r="O83" s="95">
        <f t="shared" si="54"/>
        <v>0</v>
      </c>
      <c r="P83" s="95">
        <f t="shared" si="54"/>
        <v>0</v>
      </c>
      <c r="Q83" s="95">
        <f t="shared" si="54"/>
        <v>0</v>
      </c>
      <c r="R83" s="95">
        <f t="shared" si="54"/>
        <v>0</v>
      </c>
      <c r="S83" s="95">
        <f t="shared" si="54"/>
        <v>0</v>
      </c>
      <c r="T83" s="95">
        <f t="shared" si="54"/>
        <v>0</v>
      </c>
      <c r="U83" s="95">
        <f t="shared" si="54"/>
        <v>0</v>
      </c>
      <c r="V83" s="95">
        <f t="shared" si="54"/>
        <v>0</v>
      </c>
      <c r="W83" s="95">
        <f t="shared" si="54"/>
        <v>0</v>
      </c>
      <c r="X83" s="95">
        <f t="shared" si="54"/>
        <v>0</v>
      </c>
      <c r="Y83" s="95">
        <f t="shared" si="54"/>
        <v>0</v>
      </c>
      <c r="Z83" s="121"/>
      <c r="AB83" s="3"/>
      <c r="AC83" s="3"/>
      <c r="AD83" s="3"/>
      <c r="AE83" s="3"/>
      <c r="AF83" s="3"/>
      <c r="AG83" s="3"/>
      <c r="AH83" s="3"/>
      <c r="AI83" s="3"/>
      <c r="AJ83" s="3"/>
      <c r="AK83" s="3"/>
      <c r="AL83" s="3"/>
      <c r="AM83" s="3"/>
      <c r="AN83" s="3"/>
      <c r="AO83" s="3"/>
      <c r="AP83" s="3"/>
      <c r="AQ83" s="3"/>
      <c r="AR83" s="3"/>
      <c r="AS83" s="3"/>
      <c r="AT83" s="3"/>
      <c r="AU83" s="3"/>
      <c r="AV83" s="3"/>
      <c r="AW83" s="3"/>
    </row>
    <row r="84" spans="2:49">
      <c r="B84" s="61" t="str">
        <f t="shared" si="52"/>
        <v>Opel Ampera-eDriftsutgift 2 (per år)</v>
      </c>
      <c r="C84" s="124" t="str">
        <f t="shared" si="53"/>
        <v>Driftsutgift 2 (per år)</v>
      </c>
      <c r="D84" s="137" t="str">
        <f t="shared" si="53"/>
        <v>Reparasjon og vedlikehold</v>
      </c>
      <c r="E84" s="95"/>
      <c r="F84" s="95">
        <f t="shared" ref="F84:Y84" si="55">IF(F$25&lt;=Levetid,$I15*(1+Justert_prisstigning)^F$25,)</f>
        <v>24641.5</v>
      </c>
      <c r="G84" s="95">
        <f t="shared" si="55"/>
        <v>24641.5</v>
      </c>
      <c r="H84" s="95">
        <f t="shared" si="55"/>
        <v>24641.5</v>
      </c>
      <c r="I84" s="95">
        <f t="shared" si="55"/>
        <v>24641.5</v>
      </c>
      <c r="J84" s="95">
        <f t="shared" si="55"/>
        <v>24641.5</v>
      </c>
      <c r="K84" s="95">
        <f t="shared" si="55"/>
        <v>24641.5</v>
      </c>
      <c r="L84" s="95">
        <f t="shared" si="55"/>
        <v>0</v>
      </c>
      <c r="M84" s="95">
        <f t="shared" si="55"/>
        <v>0</v>
      </c>
      <c r="N84" s="95">
        <f t="shared" si="55"/>
        <v>0</v>
      </c>
      <c r="O84" s="95">
        <f t="shared" si="55"/>
        <v>0</v>
      </c>
      <c r="P84" s="95">
        <f t="shared" si="55"/>
        <v>0</v>
      </c>
      <c r="Q84" s="95">
        <f t="shared" si="55"/>
        <v>0</v>
      </c>
      <c r="R84" s="95">
        <f t="shared" si="55"/>
        <v>0</v>
      </c>
      <c r="S84" s="95">
        <f t="shared" si="55"/>
        <v>0</v>
      </c>
      <c r="T84" s="95">
        <f t="shared" si="55"/>
        <v>0</v>
      </c>
      <c r="U84" s="95">
        <f t="shared" si="55"/>
        <v>0</v>
      </c>
      <c r="V84" s="95">
        <f t="shared" si="55"/>
        <v>0</v>
      </c>
      <c r="W84" s="95">
        <f t="shared" si="55"/>
        <v>0</v>
      </c>
      <c r="X84" s="95">
        <f t="shared" si="55"/>
        <v>0</v>
      </c>
      <c r="Y84" s="95">
        <f t="shared" si="55"/>
        <v>0</v>
      </c>
      <c r="Z84" s="121"/>
      <c r="AB84" s="3"/>
      <c r="AC84" s="3"/>
      <c r="AD84" s="3"/>
      <c r="AE84" s="3"/>
      <c r="AF84" s="3"/>
      <c r="AG84" s="3"/>
      <c r="AH84" s="3"/>
      <c r="AI84" s="3"/>
      <c r="AJ84" s="3"/>
      <c r="AK84" s="3"/>
      <c r="AL84" s="3"/>
      <c r="AM84" s="3"/>
      <c r="AN84" s="3"/>
      <c r="AO84" s="3"/>
      <c r="AP84" s="3"/>
      <c r="AQ84" s="3"/>
      <c r="AR84" s="3"/>
      <c r="AS84" s="3"/>
      <c r="AT84" s="3"/>
      <c r="AU84" s="3"/>
      <c r="AV84" s="3"/>
      <c r="AW84" s="3"/>
    </row>
    <row r="85" spans="2:49">
      <c r="B85" s="61" t="str">
        <f t="shared" si="52"/>
        <v>Opel Ampera-eDriftsutgift 3 (per år)</v>
      </c>
      <c r="C85" s="124" t="str">
        <f t="shared" si="53"/>
        <v>Driftsutgift 3 (per år)</v>
      </c>
      <c r="D85" s="137" t="str">
        <f t="shared" si="53"/>
        <v>Forbruk (kjørelengde 1 400 mil årlig forbruk fra spekk/test)</v>
      </c>
      <c r="E85" s="95"/>
      <c r="F85" s="95">
        <f t="shared" ref="F85:Y85" si="56">IF(F$25&lt;=Levetid,$I16*(1+Justert_prisstigning)^F$25,)</f>
        <v>10483.199999999999</v>
      </c>
      <c r="G85" s="95">
        <f t="shared" si="56"/>
        <v>10483.199999999999</v>
      </c>
      <c r="H85" s="95">
        <f t="shared" si="56"/>
        <v>10483.199999999999</v>
      </c>
      <c r="I85" s="95">
        <f t="shared" si="56"/>
        <v>10483.199999999999</v>
      </c>
      <c r="J85" s="95">
        <f t="shared" si="56"/>
        <v>10483.199999999999</v>
      </c>
      <c r="K85" s="95">
        <f t="shared" si="56"/>
        <v>10483.199999999999</v>
      </c>
      <c r="L85" s="95">
        <f t="shared" si="56"/>
        <v>0</v>
      </c>
      <c r="M85" s="95">
        <f t="shared" si="56"/>
        <v>0</v>
      </c>
      <c r="N85" s="95">
        <f t="shared" si="56"/>
        <v>0</v>
      </c>
      <c r="O85" s="95">
        <f t="shared" si="56"/>
        <v>0</v>
      </c>
      <c r="P85" s="95">
        <f t="shared" si="56"/>
        <v>0</v>
      </c>
      <c r="Q85" s="95">
        <f t="shared" si="56"/>
        <v>0</v>
      </c>
      <c r="R85" s="95">
        <f t="shared" si="56"/>
        <v>0</v>
      </c>
      <c r="S85" s="95">
        <f t="shared" si="56"/>
        <v>0</v>
      </c>
      <c r="T85" s="95">
        <f t="shared" si="56"/>
        <v>0</v>
      </c>
      <c r="U85" s="95">
        <f t="shared" si="56"/>
        <v>0</v>
      </c>
      <c r="V85" s="95">
        <f t="shared" si="56"/>
        <v>0</v>
      </c>
      <c r="W85" s="95">
        <f t="shared" si="56"/>
        <v>0</v>
      </c>
      <c r="X85" s="95">
        <f t="shared" si="56"/>
        <v>0</v>
      </c>
      <c r="Y85" s="95">
        <f t="shared" si="56"/>
        <v>0</v>
      </c>
      <c r="Z85" s="121"/>
      <c r="AB85" s="3"/>
      <c r="AC85" s="3"/>
      <c r="AD85" s="3"/>
      <c r="AE85" s="3"/>
      <c r="AF85" s="3"/>
      <c r="AG85" s="3"/>
      <c r="AH85" s="3"/>
      <c r="AI85" s="3"/>
      <c r="AJ85" s="3"/>
      <c r="AK85" s="3"/>
      <c r="AL85" s="3"/>
      <c r="AM85" s="3"/>
      <c r="AN85" s="3"/>
      <c r="AO85" s="3"/>
      <c r="AP85" s="3"/>
      <c r="AQ85" s="3"/>
      <c r="AR85" s="3"/>
      <c r="AS85" s="3"/>
      <c r="AT85" s="3"/>
      <c r="AU85" s="3"/>
      <c r="AV85" s="3"/>
      <c r="AW85" s="3"/>
    </row>
    <row r="86" spans="2:49">
      <c r="B86" s="61" t="str">
        <f t="shared" si="52"/>
        <v>Opel Ampera-eDriftsutgift 4 (per år)</v>
      </c>
      <c r="C86" s="124" t="str">
        <f t="shared" si="53"/>
        <v>Driftsutgift 4 (per år)</v>
      </c>
      <c r="D86" s="137" t="str">
        <f t="shared" si="53"/>
        <v>Årsavgift</v>
      </c>
      <c r="E86" s="95"/>
      <c r="F86" s="95">
        <f t="shared" ref="F86:Y86" si="57">IF(F$25&lt;=Levetid,$I17*(1+Justert_prisstigning)^F$25,)</f>
        <v>2275</v>
      </c>
      <c r="G86" s="95">
        <f t="shared" si="57"/>
        <v>2275</v>
      </c>
      <c r="H86" s="95">
        <f t="shared" si="57"/>
        <v>2275</v>
      </c>
      <c r="I86" s="95">
        <f t="shared" si="57"/>
        <v>2275</v>
      </c>
      <c r="J86" s="95">
        <f t="shared" si="57"/>
        <v>2275</v>
      </c>
      <c r="K86" s="95">
        <f t="shared" si="57"/>
        <v>2275</v>
      </c>
      <c r="L86" s="95">
        <f t="shared" si="57"/>
        <v>0</v>
      </c>
      <c r="M86" s="95">
        <f t="shared" si="57"/>
        <v>0</v>
      </c>
      <c r="N86" s="95">
        <f t="shared" si="57"/>
        <v>0</v>
      </c>
      <c r="O86" s="95">
        <f t="shared" si="57"/>
        <v>0</v>
      </c>
      <c r="P86" s="95">
        <f t="shared" si="57"/>
        <v>0</v>
      </c>
      <c r="Q86" s="95">
        <f t="shared" si="57"/>
        <v>0</v>
      </c>
      <c r="R86" s="95">
        <f t="shared" si="57"/>
        <v>0</v>
      </c>
      <c r="S86" s="95">
        <f t="shared" si="57"/>
        <v>0</v>
      </c>
      <c r="T86" s="95">
        <f t="shared" si="57"/>
        <v>0</v>
      </c>
      <c r="U86" s="95">
        <f t="shared" si="57"/>
        <v>0</v>
      </c>
      <c r="V86" s="95">
        <f t="shared" si="57"/>
        <v>0</v>
      </c>
      <c r="W86" s="95">
        <f t="shared" si="57"/>
        <v>0</v>
      </c>
      <c r="X86" s="95">
        <f t="shared" si="57"/>
        <v>0</v>
      </c>
      <c r="Y86" s="95">
        <f t="shared" si="57"/>
        <v>0</v>
      </c>
      <c r="Z86" s="121"/>
      <c r="AB86" s="3"/>
      <c r="AC86" s="3"/>
      <c r="AD86" s="3"/>
      <c r="AE86" s="3"/>
      <c r="AF86" s="3"/>
      <c r="AG86" s="3"/>
      <c r="AH86" s="3"/>
      <c r="AI86" s="3"/>
      <c r="AJ86" s="3"/>
      <c r="AK86" s="3"/>
      <c r="AL86" s="3"/>
      <c r="AM86" s="3"/>
      <c r="AN86" s="3"/>
      <c r="AO86" s="3"/>
      <c r="AP86" s="3"/>
      <c r="AQ86" s="3"/>
      <c r="AR86" s="3"/>
      <c r="AS86" s="3"/>
      <c r="AT86" s="3"/>
      <c r="AU86" s="3"/>
      <c r="AV86" s="3"/>
      <c r="AW86" s="3"/>
    </row>
    <row r="87" spans="2:49">
      <c r="B87" s="61" t="str">
        <f t="shared" si="52"/>
        <v>Opel Ampera-eDriftsutgift 5 (per år)</v>
      </c>
      <c r="C87" s="124" t="str">
        <f t="shared" si="53"/>
        <v>Driftsutgift 5 (per år)</v>
      </c>
      <c r="D87" s="137" t="str">
        <f t="shared" si="53"/>
        <v>Andre driftskostnader</v>
      </c>
      <c r="E87" s="95"/>
      <c r="F87" s="95">
        <f t="shared" ref="F87:Y87" si="58">IF(F$25&lt;=Levetid,$I18*(1+Justert_prisstigning)^F$25,)</f>
        <v>0</v>
      </c>
      <c r="G87" s="95">
        <f t="shared" si="58"/>
        <v>0</v>
      </c>
      <c r="H87" s="95">
        <f t="shared" si="58"/>
        <v>0</v>
      </c>
      <c r="I87" s="95">
        <f t="shared" si="58"/>
        <v>0</v>
      </c>
      <c r="J87" s="95">
        <f t="shared" si="58"/>
        <v>0</v>
      </c>
      <c r="K87" s="95">
        <f t="shared" si="58"/>
        <v>0</v>
      </c>
      <c r="L87" s="95">
        <f t="shared" si="58"/>
        <v>0</v>
      </c>
      <c r="M87" s="95">
        <f t="shared" si="58"/>
        <v>0</v>
      </c>
      <c r="N87" s="95">
        <f t="shared" si="58"/>
        <v>0</v>
      </c>
      <c r="O87" s="95">
        <f t="shared" si="58"/>
        <v>0</v>
      </c>
      <c r="P87" s="95">
        <f t="shared" si="58"/>
        <v>0</v>
      </c>
      <c r="Q87" s="95">
        <f t="shared" si="58"/>
        <v>0</v>
      </c>
      <c r="R87" s="95">
        <f t="shared" si="58"/>
        <v>0</v>
      </c>
      <c r="S87" s="95">
        <f t="shared" si="58"/>
        <v>0</v>
      </c>
      <c r="T87" s="95">
        <f t="shared" si="58"/>
        <v>0</v>
      </c>
      <c r="U87" s="95">
        <f t="shared" si="58"/>
        <v>0</v>
      </c>
      <c r="V87" s="95">
        <f t="shared" si="58"/>
        <v>0</v>
      </c>
      <c r="W87" s="95">
        <f t="shared" si="58"/>
        <v>0</v>
      </c>
      <c r="X87" s="95">
        <f t="shared" si="58"/>
        <v>0</v>
      </c>
      <c r="Y87" s="95">
        <f t="shared" si="58"/>
        <v>0</v>
      </c>
      <c r="Z87" s="121"/>
      <c r="AB87" s="3"/>
      <c r="AC87" s="3"/>
      <c r="AD87" s="3"/>
      <c r="AE87" s="3"/>
      <c r="AF87" s="3"/>
      <c r="AG87" s="3"/>
      <c r="AH87" s="3"/>
      <c r="AI87" s="3"/>
      <c r="AJ87" s="3"/>
      <c r="AK87" s="3"/>
      <c r="AL87" s="3"/>
      <c r="AM87" s="3"/>
      <c r="AN87" s="3"/>
      <c r="AO87" s="3"/>
      <c r="AP87" s="3"/>
      <c r="AQ87" s="3"/>
      <c r="AR87" s="3"/>
      <c r="AS87" s="3"/>
      <c r="AT87" s="3"/>
      <c r="AU87" s="3"/>
      <c r="AV87" s="3"/>
      <c r="AW87" s="3"/>
    </row>
    <row r="88" spans="2:49">
      <c r="B88" s="61" t="str">
        <f t="shared" si="52"/>
        <v>Opel Ampera-eAvhendingskostnader/restverdier</v>
      </c>
      <c r="C88" s="124" t="str">
        <f>+C21</f>
        <v>Avhendingskostnader/restverdier</v>
      </c>
      <c r="D88" s="137" t="str">
        <f>+D21</f>
        <v>Avhendingsutgifter - salgsinntekter</v>
      </c>
      <c r="E88" s="95">
        <f t="shared" ref="E88:Y88" si="59">IF(Levetid=E25,$I$21*(1+Justert_prisstigning)^E25,)</f>
        <v>0</v>
      </c>
      <c r="F88" s="95">
        <f t="shared" si="59"/>
        <v>0</v>
      </c>
      <c r="G88" s="95">
        <f t="shared" si="59"/>
        <v>0</v>
      </c>
      <c r="H88" s="95">
        <f t="shared" si="59"/>
        <v>0</v>
      </c>
      <c r="I88" s="95">
        <f t="shared" si="59"/>
        <v>0</v>
      </c>
      <c r="J88" s="95">
        <f t="shared" si="59"/>
        <v>0</v>
      </c>
      <c r="K88" s="95">
        <f>IF(Levetid=K25,$I$21*(1+Justert_prisstigning)^K25,)</f>
        <v>-241583.33333333331</v>
      </c>
      <c r="L88" s="95">
        <f t="shared" si="59"/>
        <v>0</v>
      </c>
      <c r="M88" s="95">
        <f t="shared" si="59"/>
        <v>0</v>
      </c>
      <c r="N88" s="95">
        <f t="shared" si="59"/>
        <v>0</v>
      </c>
      <c r="O88" s="95">
        <f t="shared" si="59"/>
        <v>0</v>
      </c>
      <c r="P88" s="95">
        <f t="shared" si="59"/>
        <v>0</v>
      </c>
      <c r="Q88" s="95">
        <f t="shared" si="59"/>
        <v>0</v>
      </c>
      <c r="R88" s="95">
        <f t="shared" si="59"/>
        <v>0</v>
      </c>
      <c r="S88" s="95">
        <f t="shared" si="59"/>
        <v>0</v>
      </c>
      <c r="T88" s="95">
        <f t="shared" si="59"/>
        <v>0</v>
      </c>
      <c r="U88" s="95">
        <f t="shared" si="59"/>
        <v>0</v>
      </c>
      <c r="V88" s="95">
        <f t="shared" si="59"/>
        <v>0</v>
      </c>
      <c r="W88" s="95">
        <f t="shared" si="59"/>
        <v>0</v>
      </c>
      <c r="X88" s="95">
        <f t="shared" si="59"/>
        <v>0</v>
      </c>
      <c r="Y88" s="95">
        <f t="shared" si="59"/>
        <v>0</v>
      </c>
      <c r="Z88" s="121"/>
      <c r="AB88" s="3"/>
      <c r="AC88" s="3"/>
      <c r="AD88" s="3"/>
      <c r="AE88" s="3"/>
      <c r="AF88" s="3"/>
      <c r="AG88" s="3"/>
      <c r="AH88" s="3"/>
      <c r="AI88" s="3"/>
      <c r="AJ88" s="3"/>
      <c r="AK88" s="3"/>
      <c r="AL88" s="3"/>
      <c r="AM88" s="3"/>
      <c r="AN88" s="3"/>
      <c r="AO88" s="3"/>
      <c r="AP88" s="3"/>
      <c r="AQ88" s="3"/>
      <c r="AR88" s="3"/>
      <c r="AS88" s="3"/>
      <c r="AT88" s="3"/>
      <c r="AU88" s="3"/>
      <c r="AV88" s="3"/>
      <c r="AW88" s="3"/>
    </row>
    <row r="89" spans="2:49">
      <c r="C89" s="124"/>
      <c r="D89" s="137" t="str">
        <f>+D46</f>
        <v>Sum utgifter i perioden</v>
      </c>
      <c r="E89" s="95">
        <f>SUM(E80:E88)</f>
        <v>1449500</v>
      </c>
      <c r="F89" s="95">
        <f t="shared" ref="F89:Y89" si="60">SUM(F80:F88)</f>
        <v>56388.149999999994</v>
      </c>
      <c r="G89" s="95">
        <f t="shared" si="60"/>
        <v>56388.149999999994</v>
      </c>
      <c r="H89" s="95">
        <f t="shared" si="60"/>
        <v>56388.149999999994</v>
      </c>
      <c r="I89" s="95">
        <f>SUM(I80:I88)</f>
        <v>56388.149999999994</v>
      </c>
      <c r="J89" s="95">
        <f t="shared" si="60"/>
        <v>56388.149999999994</v>
      </c>
      <c r="K89" s="95">
        <f>SUM(K80:K88)</f>
        <v>-185195.18333333332</v>
      </c>
      <c r="L89" s="95">
        <f t="shared" si="60"/>
        <v>0</v>
      </c>
      <c r="M89" s="95">
        <f t="shared" si="60"/>
        <v>0</v>
      </c>
      <c r="N89" s="95">
        <f t="shared" si="60"/>
        <v>0</v>
      </c>
      <c r="O89" s="95">
        <f t="shared" si="60"/>
        <v>0</v>
      </c>
      <c r="P89" s="95">
        <f t="shared" si="60"/>
        <v>0</v>
      </c>
      <c r="Q89" s="95">
        <f t="shared" si="60"/>
        <v>0</v>
      </c>
      <c r="R89" s="95">
        <f t="shared" si="60"/>
        <v>0</v>
      </c>
      <c r="S89" s="95">
        <f t="shared" si="60"/>
        <v>0</v>
      </c>
      <c r="T89" s="95">
        <f t="shared" si="60"/>
        <v>0</v>
      </c>
      <c r="U89" s="95">
        <f t="shared" si="60"/>
        <v>0</v>
      </c>
      <c r="V89" s="95">
        <f t="shared" si="60"/>
        <v>0</v>
      </c>
      <c r="W89" s="95">
        <f t="shared" si="60"/>
        <v>0</v>
      </c>
      <c r="X89" s="95">
        <f t="shared" si="60"/>
        <v>0</v>
      </c>
      <c r="Y89" s="95">
        <f t="shared" si="60"/>
        <v>0</v>
      </c>
      <c r="Z89" s="121"/>
      <c r="AB89" s="3"/>
      <c r="AC89" s="3"/>
      <c r="AD89" s="3"/>
      <c r="AE89" s="3"/>
      <c r="AF89" s="3"/>
      <c r="AG89" s="3"/>
      <c r="AH89" s="3"/>
      <c r="AI89" s="3"/>
      <c r="AJ89" s="3"/>
      <c r="AK89" s="3"/>
      <c r="AL89" s="3"/>
      <c r="AM89" s="3"/>
      <c r="AN89" s="3"/>
      <c r="AO89" s="3"/>
      <c r="AP89" s="3"/>
      <c r="AQ89" s="3"/>
      <c r="AR89" s="3"/>
      <c r="AS89" s="3"/>
      <c r="AT89" s="3"/>
      <c r="AU89" s="3"/>
      <c r="AV89" s="3"/>
      <c r="AW89" s="3"/>
    </row>
    <row r="90" spans="2:49">
      <c r="C90" s="124"/>
      <c r="D90" s="137" t="s">
        <v>21</v>
      </c>
      <c r="E90" s="95">
        <f t="shared" ref="E90:Y90" si="61">+E89*E23</f>
        <v>1449500</v>
      </c>
      <c r="F90" s="95">
        <f t="shared" si="61"/>
        <v>54219.374999999993</v>
      </c>
      <c r="G90" s="95">
        <f t="shared" si="61"/>
        <v>52134.014423076915</v>
      </c>
      <c r="H90" s="95">
        <f t="shared" si="61"/>
        <v>50128.860022189343</v>
      </c>
      <c r="I90" s="95">
        <f t="shared" si="61"/>
        <v>48200.826944412824</v>
      </c>
      <c r="J90" s="95">
        <f t="shared" si="61"/>
        <v>46346.948985012321</v>
      </c>
      <c r="K90" s="95">
        <f t="shared" si="61"/>
        <v>-146362.4434835907</v>
      </c>
      <c r="L90" s="95">
        <f t="shared" si="61"/>
        <v>0</v>
      </c>
      <c r="M90" s="95">
        <f t="shared" si="61"/>
        <v>0</v>
      </c>
      <c r="N90" s="95">
        <f t="shared" si="61"/>
        <v>0</v>
      </c>
      <c r="O90" s="95">
        <f t="shared" si="61"/>
        <v>0</v>
      </c>
      <c r="P90" s="95">
        <f t="shared" si="61"/>
        <v>0</v>
      </c>
      <c r="Q90" s="95">
        <f t="shared" si="61"/>
        <v>0</v>
      </c>
      <c r="R90" s="95">
        <f t="shared" si="61"/>
        <v>0</v>
      </c>
      <c r="S90" s="95">
        <f t="shared" si="61"/>
        <v>0</v>
      </c>
      <c r="T90" s="95">
        <f t="shared" si="61"/>
        <v>0</v>
      </c>
      <c r="U90" s="95">
        <f t="shared" si="61"/>
        <v>0</v>
      </c>
      <c r="V90" s="95">
        <f t="shared" si="61"/>
        <v>0</v>
      </c>
      <c r="W90" s="95">
        <f t="shared" si="61"/>
        <v>0</v>
      </c>
      <c r="X90" s="95">
        <f t="shared" si="61"/>
        <v>0</v>
      </c>
      <c r="Y90" s="95">
        <f t="shared" si="61"/>
        <v>0</v>
      </c>
      <c r="Z90" s="121">
        <f>SUM(E90:Y90)</f>
        <v>1554167.5818911009</v>
      </c>
      <c r="AB90" s="3"/>
      <c r="AC90" s="3"/>
      <c r="AD90" s="3"/>
      <c r="AE90" s="3"/>
      <c r="AF90" s="3"/>
      <c r="AG90" s="3"/>
      <c r="AH90" s="3"/>
      <c r="AI90" s="3"/>
      <c r="AJ90" s="3"/>
      <c r="AK90" s="3"/>
      <c r="AL90" s="3"/>
      <c r="AM90" s="3"/>
      <c r="AN90" s="3"/>
      <c r="AO90" s="3"/>
      <c r="AP90" s="3"/>
      <c r="AQ90" s="3"/>
      <c r="AR90" s="3"/>
      <c r="AS90" s="3"/>
      <c r="AT90" s="3"/>
      <c r="AU90" s="3"/>
      <c r="AV90" s="3"/>
      <c r="AW90" s="3"/>
    </row>
    <row r="91" spans="2:49">
      <c r="C91" s="124"/>
      <c r="D91" s="95" t="s">
        <v>159</v>
      </c>
      <c r="E91" s="95">
        <f>+E88*E$23</f>
        <v>0</v>
      </c>
      <c r="F91" s="95">
        <f t="shared" ref="F91:Y91" si="62">+F88*F$23</f>
        <v>0</v>
      </c>
      <c r="G91" s="95">
        <f t="shared" si="62"/>
        <v>0</v>
      </c>
      <c r="H91" s="95">
        <f t="shared" si="62"/>
        <v>0</v>
      </c>
      <c r="I91" s="95">
        <f>+I88*I$23</f>
        <v>0</v>
      </c>
      <c r="J91" s="95">
        <f t="shared" si="62"/>
        <v>0</v>
      </c>
      <c r="K91" s="95">
        <f t="shared" si="62"/>
        <v>-190926.81750764101</v>
      </c>
      <c r="L91" s="95">
        <f>+L88*L$23</f>
        <v>0</v>
      </c>
      <c r="M91" s="95">
        <f>+M88*M$23</f>
        <v>0</v>
      </c>
      <c r="N91" s="95">
        <f>+N88*N$23</f>
        <v>0</v>
      </c>
      <c r="O91" s="95">
        <f t="shared" si="62"/>
        <v>0</v>
      </c>
      <c r="P91" s="95">
        <f t="shared" si="62"/>
        <v>0</v>
      </c>
      <c r="Q91" s="95">
        <f t="shared" si="62"/>
        <v>0</v>
      </c>
      <c r="R91" s="95">
        <f t="shared" si="62"/>
        <v>0</v>
      </c>
      <c r="S91" s="95">
        <f t="shared" si="62"/>
        <v>0</v>
      </c>
      <c r="T91" s="95">
        <f t="shared" si="62"/>
        <v>0</v>
      </c>
      <c r="U91" s="95">
        <f t="shared" si="62"/>
        <v>0</v>
      </c>
      <c r="V91" s="95">
        <f t="shared" si="62"/>
        <v>0</v>
      </c>
      <c r="W91" s="95">
        <f t="shared" si="62"/>
        <v>0</v>
      </c>
      <c r="X91" s="95">
        <f t="shared" si="62"/>
        <v>0</v>
      </c>
      <c r="Y91" s="95">
        <f t="shared" si="62"/>
        <v>0</v>
      </c>
      <c r="Z91" s="121"/>
      <c r="AB91" s="3"/>
      <c r="AC91" s="3"/>
      <c r="AD91" s="3"/>
      <c r="AE91" s="3"/>
      <c r="AF91" s="3"/>
      <c r="AG91" s="3"/>
      <c r="AH91" s="3"/>
      <c r="AI91" s="3"/>
      <c r="AJ91" s="3"/>
      <c r="AK91" s="3"/>
      <c r="AL91" s="3"/>
      <c r="AM91" s="3"/>
      <c r="AN91" s="3"/>
      <c r="AO91" s="3"/>
      <c r="AP91" s="3"/>
      <c r="AQ91" s="3"/>
      <c r="AR91" s="3"/>
      <c r="AS91" s="3"/>
      <c r="AT91" s="3"/>
      <c r="AU91" s="3"/>
      <c r="AV91" s="3"/>
      <c r="AW91" s="3"/>
    </row>
    <row r="92" spans="2:49">
      <c r="C92" s="143"/>
      <c r="D92" s="144" t="s">
        <v>27</v>
      </c>
      <c r="E92" s="135">
        <f t="shared" ref="E92:Z92" si="63">+E90-E29</f>
        <v>0</v>
      </c>
      <c r="F92" s="135">
        <f t="shared" si="63"/>
        <v>0</v>
      </c>
      <c r="G92" s="135">
        <f t="shared" si="63"/>
        <v>0</v>
      </c>
      <c r="H92" s="135">
        <f t="shared" si="63"/>
        <v>0</v>
      </c>
      <c r="I92" s="135">
        <f t="shared" si="63"/>
        <v>0</v>
      </c>
      <c r="J92" s="135">
        <f t="shared" si="63"/>
        <v>0</v>
      </c>
      <c r="K92" s="135">
        <f t="shared" si="63"/>
        <v>0</v>
      </c>
      <c r="L92" s="135">
        <f t="shared" si="63"/>
        <v>0</v>
      </c>
      <c r="M92" s="135">
        <f t="shared" si="63"/>
        <v>0</v>
      </c>
      <c r="N92" s="135">
        <f t="shared" si="63"/>
        <v>0</v>
      </c>
      <c r="O92" s="135">
        <f t="shared" si="63"/>
        <v>0</v>
      </c>
      <c r="P92" s="135">
        <f t="shared" si="63"/>
        <v>0</v>
      </c>
      <c r="Q92" s="135">
        <f t="shared" si="63"/>
        <v>0</v>
      </c>
      <c r="R92" s="135">
        <f t="shared" si="63"/>
        <v>0</v>
      </c>
      <c r="S92" s="135">
        <f t="shared" si="63"/>
        <v>0</v>
      </c>
      <c r="T92" s="135">
        <f t="shared" si="63"/>
        <v>0</v>
      </c>
      <c r="U92" s="135">
        <f t="shared" si="63"/>
        <v>0</v>
      </c>
      <c r="V92" s="135">
        <f t="shared" si="63"/>
        <v>0</v>
      </c>
      <c r="W92" s="135">
        <f t="shared" si="63"/>
        <v>0</v>
      </c>
      <c r="X92" s="135">
        <f t="shared" si="63"/>
        <v>0</v>
      </c>
      <c r="Y92" s="135">
        <f t="shared" si="63"/>
        <v>0</v>
      </c>
      <c r="Z92" s="145">
        <f t="shared" si="63"/>
        <v>0</v>
      </c>
      <c r="AB92" s="3"/>
      <c r="AC92" s="3"/>
      <c r="AD92" s="3"/>
      <c r="AE92" s="3"/>
      <c r="AF92" s="3"/>
      <c r="AG92" s="3"/>
      <c r="AH92" s="3"/>
      <c r="AI92" s="3"/>
      <c r="AJ92" s="3"/>
      <c r="AK92" s="3"/>
      <c r="AL92" s="3"/>
      <c r="AM92" s="3"/>
      <c r="AN92" s="3"/>
      <c r="AO92" s="3"/>
      <c r="AP92" s="3"/>
      <c r="AQ92" s="3"/>
      <c r="AR92" s="3"/>
      <c r="AS92" s="3"/>
      <c r="AT92" s="3"/>
      <c r="AU92" s="3"/>
      <c r="AV92" s="3"/>
      <c r="AW92" s="3"/>
    </row>
    <row r="93" spans="2:49">
      <c r="C93" s="34"/>
      <c r="D93" s="36"/>
      <c r="E93" s="31"/>
      <c r="F93" s="31"/>
      <c r="G93" s="31"/>
      <c r="H93" s="31"/>
      <c r="I93" s="31"/>
      <c r="J93" s="31"/>
      <c r="K93" s="31"/>
      <c r="L93" s="31"/>
      <c r="M93" s="31"/>
      <c r="N93" s="31"/>
      <c r="O93" s="31"/>
      <c r="P93" s="31"/>
      <c r="Q93" s="31"/>
      <c r="R93" s="31"/>
      <c r="S93" s="31"/>
      <c r="T93" s="31"/>
      <c r="U93" s="31"/>
      <c r="V93" s="31"/>
      <c r="W93" s="31"/>
      <c r="X93" s="31"/>
      <c r="Y93" s="31"/>
      <c r="Z93" s="31"/>
      <c r="AB93" s="3"/>
      <c r="AC93" s="3"/>
      <c r="AD93" s="3"/>
      <c r="AE93" s="3"/>
      <c r="AF93" s="3"/>
      <c r="AG93" s="3"/>
      <c r="AH93" s="3"/>
      <c r="AI93" s="3"/>
      <c r="AJ93" s="3"/>
      <c r="AK93" s="3"/>
      <c r="AL93" s="3"/>
      <c r="AM93" s="3"/>
      <c r="AN93" s="3"/>
      <c r="AO93" s="3"/>
      <c r="AP93" s="3"/>
      <c r="AQ93" s="3"/>
      <c r="AR93" s="3"/>
      <c r="AS93" s="3"/>
      <c r="AT93" s="3"/>
      <c r="AU93" s="3"/>
      <c r="AV93" s="3"/>
      <c r="AW93" s="3"/>
    </row>
    <row r="94" spans="2:49">
      <c r="B94" s="61"/>
      <c r="C94" s="91" t="str">
        <f>+J7</f>
        <v>Nissan Leaf</v>
      </c>
      <c r="D94" s="92" t="s">
        <v>194</v>
      </c>
      <c r="E94" s="150">
        <v>0</v>
      </c>
      <c r="F94" s="150">
        <v>1</v>
      </c>
      <c r="G94" s="150">
        <v>2</v>
      </c>
      <c r="H94" s="150">
        <v>3</v>
      </c>
      <c r="I94" s="150">
        <v>4</v>
      </c>
      <c r="J94" s="150">
        <v>5</v>
      </c>
      <c r="K94" s="150">
        <v>6</v>
      </c>
      <c r="L94" s="150">
        <v>7</v>
      </c>
      <c r="M94" s="150">
        <v>8</v>
      </c>
      <c r="N94" s="150">
        <v>9</v>
      </c>
      <c r="O94" s="150">
        <v>10</v>
      </c>
      <c r="P94" s="150">
        <v>11</v>
      </c>
      <c r="Q94" s="150">
        <v>12</v>
      </c>
      <c r="R94" s="150">
        <v>13</v>
      </c>
      <c r="S94" s="150">
        <v>14</v>
      </c>
      <c r="T94" s="150">
        <v>15</v>
      </c>
      <c r="U94" s="150">
        <v>16</v>
      </c>
      <c r="V94" s="150">
        <v>17</v>
      </c>
      <c r="W94" s="150">
        <v>18</v>
      </c>
      <c r="X94" s="150">
        <v>19</v>
      </c>
      <c r="Y94" s="150">
        <v>20</v>
      </c>
      <c r="Z94" s="151"/>
      <c r="AB94" s="3"/>
      <c r="AC94" s="3"/>
      <c r="AD94" s="3"/>
      <c r="AE94" s="3"/>
      <c r="AF94" s="3"/>
      <c r="AG94" s="3"/>
      <c r="AH94" s="3"/>
      <c r="AI94" s="3"/>
      <c r="AJ94" s="3"/>
      <c r="AK94" s="3"/>
      <c r="AL94" s="3"/>
      <c r="AM94" s="3"/>
      <c r="AN94" s="3"/>
      <c r="AO94" s="3"/>
      <c r="AP94" s="3"/>
      <c r="AQ94" s="3"/>
      <c r="AR94" s="3"/>
      <c r="AS94" s="3"/>
      <c r="AT94" s="3"/>
      <c r="AU94" s="3"/>
      <c r="AV94" s="3"/>
      <c r="AW94" s="3"/>
    </row>
    <row r="95" spans="2:49">
      <c r="B95" s="61" t="str">
        <f>CONCATENATE($C$94,C95)</f>
        <v>Nissan LeafInvesteringskost 1</v>
      </c>
      <c r="C95" s="124" t="str">
        <f t="shared" ref="C95:D97" si="64">+C9</f>
        <v>Investeringskost 1</v>
      </c>
      <c r="D95" s="137" t="str">
        <f t="shared" si="64"/>
        <v>Bil med sommer og vinterdekk</v>
      </c>
      <c r="E95" s="95">
        <f>+J9</f>
        <v>1024950</v>
      </c>
      <c r="F95" s="95"/>
      <c r="G95" s="104"/>
      <c r="H95" s="95"/>
      <c r="I95" s="95"/>
      <c r="J95" s="95"/>
      <c r="K95" s="95"/>
      <c r="L95" s="95"/>
      <c r="M95" s="95"/>
      <c r="N95" s="95"/>
      <c r="O95" s="95"/>
      <c r="P95" s="95"/>
      <c r="Q95" s="95"/>
      <c r="R95" s="95"/>
      <c r="S95" s="95"/>
      <c r="T95" s="95"/>
      <c r="U95" s="95"/>
      <c r="V95" s="95"/>
      <c r="W95" s="95"/>
      <c r="X95" s="95"/>
      <c r="Y95" s="95"/>
      <c r="Z95" s="121"/>
      <c r="AB95" s="3"/>
      <c r="AC95" s="3"/>
      <c r="AD95" s="3"/>
      <c r="AE95" s="3"/>
      <c r="AF95" s="3"/>
      <c r="AG95" s="3"/>
      <c r="AH95" s="3"/>
      <c r="AI95" s="3"/>
      <c r="AJ95" s="3"/>
      <c r="AK95" s="3"/>
      <c r="AL95" s="3"/>
      <c r="AM95" s="3"/>
      <c r="AN95" s="3"/>
      <c r="AO95" s="3"/>
      <c r="AP95" s="3"/>
      <c r="AQ95" s="3"/>
      <c r="AR95" s="3"/>
      <c r="AS95" s="3"/>
      <c r="AT95" s="3"/>
      <c r="AU95" s="3"/>
      <c r="AV95" s="3"/>
      <c r="AW95" s="3"/>
    </row>
    <row r="96" spans="2:49">
      <c r="B96" s="61" t="str">
        <f t="shared" ref="B96:B103" si="65">CONCATENATE($C$94,C96)</f>
        <v>Nissan LeafInvesteringskost 2</v>
      </c>
      <c r="C96" s="124" t="str">
        <f t="shared" si="64"/>
        <v>Investeringskost 2</v>
      </c>
      <c r="D96" s="137" t="str">
        <f t="shared" si="64"/>
        <v>Ekstrautstyr: automatgir og ryggesensor</v>
      </c>
      <c r="E96" s="95">
        <f>+J10</f>
        <v>0</v>
      </c>
      <c r="F96" s="95"/>
      <c r="G96" s="104"/>
      <c r="H96" s="95"/>
      <c r="I96" s="95"/>
      <c r="J96" s="95"/>
      <c r="K96" s="95"/>
      <c r="L96" s="95"/>
      <c r="M96" s="95"/>
      <c r="N96" s="95"/>
      <c r="O96" s="95"/>
      <c r="P96" s="95"/>
      <c r="Q96" s="95"/>
      <c r="R96" s="95"/>
      <c r="S96" s="95"/>
      <c r="T96" s="95"/>
      <c r="U96" s="95"/>
      <c r="V96" s="95"/>
      <c r="W96" s="95"/>
      <c r="X96" s="95"/>
      <c r="Y96" s="95"/>
      <c r="Z96" s="121"/>
      <c r="AB96" s="3"/>
      <c r="AC96" s="3"/>
      <c r="AD96" s="3"/>
      <c r="AE96" s="3"/>
      <c r="AF96" s="3"/>
      <c r="AG96" s="3"/>
      <c r="AH96" s="3"/>
      <c r="AI96" s="3"/>
      <c r="AJ96" s="3"/>
      <c r="AK96" s="3"/>
      <c r="AL96" s="3"/>
      <c r="AM96" s="3"/>
      <c r="AN96" s="3"/>
      <c r="AO96" s="3"/>
      <c r="AP96" s="3"/>
      <c r="AQ96" s="3"/>
      <c r="AR96" s="3"/>
      <c r="AS96" s="3"/>
      <c r="AT96" s="3"/>
      <c r="AU96" s="3"/>
      <c r="AV96" s="3"/>
      <c r="AW96" s="3"/>
    </row>
    <row r="97" spans="2:49">
      <c r="B97" s="61" t="str">
        <f t="shared" si="65"/>
        <v>Nissan LeafInvesteringskost 3</v>
      </c>
      <c r="C97" s="124" t="str">
        <f t="shared" si="64"/>
        <v>Investeringskost 3</v>
      </c>
      <c r="D97" s="137" t="str">
        <f t="shared" si="64"/>
        <v>Andre investeringskostnader</v>
      </c>
      <c r="E97" s="95">
        <f>+J11</f>
        <v>188960.35345481391</v>
      </c>
      <c r="F97" s="95"/>
      <c r="G97" s="104"/>
      <c r="H97" s="95"/>
      <c r="I97" s="95"/>
      <c r="J97" s="95"/>
      <c r="K97" s="95"/>
      <c r="L97" s="95"/>
      <c r="M97" s="95"/>
      <c r="N97" s="95"/>
      <c r="O97" s="95"/>
      <c r="P97" s="95"/>
      <c r="Q97" s="95"/>
      <c r="R97" s="95"/>
      <c r="S97" s="95"/>
      <c r="T97" s="95"/>
      <c r="U97" s="95"/>
      <c r="V97" s="95"/>
      <c r="W97" s="95"/>
      <c r="X97" s="95"/>
      <c r="Y97" s="95"/>
      <c r="Z97" s="121"/>
      <c r="AB97" s="3"/>
      <c r="AC97" s="3"/>
      <c r="AD97" s="3"/>
      <c r="AE97" s="3"/>
      <c r="AF97" s="3"/>
      <c r="AG97" s="3"/>
      <c r="AH97" s="3"/>
      <c r="AI97" s="3"/>
      <c r="AJ97" s="3"/>
      <c r="AK97" s="3"/>
      <c r="AL97" s="3"/>
      <c r="AM97" s="3"/>
      <c r="AN97" s="3"/>
      <c r="AO97" s="3"/>
      <c r="AP97" s="3"/>
      <c r="AQ97" s="3"/>
      <c r="AR97" s="3"/>
      <c r="AS97" s="3"/>
      <c r="AT97" s="3"/>
      <c r="AU97" s="3"/>
      <c r="AV97" s="3"/>
      <c r="AW97" s="3"/>
    </row>
    <row r="98" spans="2:49">
      <c r="B98" s="61" t="str">
        <f t="shared" si="65"/>
        <v>Nissan LeafDriftsutgift 1 (per år)</v>
      </c>
      <c r="C98" s="124" t="str">
        <f t="shared" ref="C98:D102" si="66">+C14</f>
        <v>Driftsutgift 1 (per år)</v>
      </c>
      <c r="D98" s="137" t="str">
        <f t="shared" si="66"/>
        <v>Forsikring</v>
      </c>
      <c r="E98" s="95"/>
      <c r="F98" s="95">
        <f t="shared" ref="F98:Y98" si="67">IF(F$25&lt;=Levetid,$J14*(1+Justert_prisstigning)^F$25,)</f>
        <v>0</v>
      </c>
      <c r="G98" s="95">
        <f t="shared" si="67"/>
        <v>0</v>
      </c>
      <c r="H98" s="95">
        <f t="shared" si="67"/>
        <v>0</v>
      </c>
      <c r="I98" s="95">
        <f t="shared" si="67"/>
        <v>0</v>
      </c>
      <c r="J98" s="95">
        <f t="shared" si="67"/>
        <v>0</v>
      </c>
      <c r="K98" s="95">
        <f t="shared" si="67"/>
        <v>0</v>
      </c>
      <c r="L98" s="95">
        <f t="shared" si="67"/>
        <v>0</v>
      </c>
      <c r="M98" s="95">
        <f t="shared" si="67"/>
        <v>0</v>
      </c>
      <c r="N98" s="95">
        <f t="shared" si="67"/>
        <v>0</v>
      </c>
      <c r="O98" s="95">
        <f t="shared" si="67"/>
        <v>0</v>
      </c>
      <c r="P98" s="95">
        <f t="shared" si="67"/>
        <v>0</v>
      </c>
      <c r="Q98" s="95">
        <f t="shared" si="67"/>
        <v>0</v>
      </c>
      <c r="R98" s="95">
        <f t="shared" si="67"/>
        <v>0</v>
      </c>
      <c r="S98" s="95">
        <f t="shared" si="67"/>
        <v>0</v>
      </c>
      <c r="T98" s="95">
        <f t="shared" si="67"/>
        <v>0</v>
      </c>
      <c r="U98" s="95">
        <f t="shared" si="67"/>
        <v>0</v>
      </c>
      <c r="V98" s="95">
        <f t="shared" si="67"/>
        <v>0</v>
      </c>
      <c r="W98" s="95">
        <f t="shared" si="67"/>
        <v>0</v>
      </c>
      <c r="X98" s="95">
        <f t="shared" si="67"/>
        <v>0</v>
      </c>
      <c r="Y98" s="95">
        <f t="shared" si="67"/>
        <v>0</v>
      </c>
      <c r="Z98" s="121"/>
      <c r="AB98" s="3"/>
      <c r="AC98" s="3"/>
      <c r="AD98" s="3"/>
      <c r="AE98" s="3"/>
      <c r="AF98" s="3"/>
      <c r="AG98" s="3"/>
      <c r="AH98" s="3"/>
      <c r="AI98" s="3"/>
      <c r="AJ98" s="3"/>
      <c r="AK98" s="3"/>
      <c r="AL98" s="3"/>
      <c r="AM98" s="3"/>
      <c r="AN98" s="3"/>
      <c r="AO98" s="3"/>
      <c r="AP98" s="3"/>
      <c r="AQ98" s="3"/>
      <c r="AR98" s="3"/>
      <c r="AS98" s="3"/>
      <c r="AT98" s="3"/>
      <c r="AU98" s="3"/>
      <c r="AV98" s="3"/>
      <c r="AW98" s="3"/>
    </row>
    <row r="99" spans="2:49">
      <c r="B99" s="61" t="str">
        <f t="shared" si="65"/>
        <v>Nissan LeafDriftsutgift 2 (per år)</v>
      </c>
      <c r="C99" s="124" t="str">
        <f t="shared" si="66"/>
        <v>Driftsutgift 2 (per år)</v>
      </c>
      <c r="D99" s="137" t="str">
        <f t="shared" si="66"/>
        <v>Reparasjon og vedlikehold</v>
      </c>
      <c r="E99" s="95"/>
      <c r="F99" s="95">
        <f t="shared" ref="F99:Y99" si="68">IF(F$25&lt;=Levetid,$J15*(1+Justert_prisstigning)^F$25,)</f>
        <v>0</v>
      </c>
      <c r="G99" s="95">
        <f t="shared" si="68"/>
        <v>0</v>
      </c>
      <c r="H99" s="95">
        <f t="shared" si="68"/>
        <v>0</v>
      </c>
      <c r="I99" s="95">
        <f t="shared" si="68"/>
        <v>0</v>
      </c>
      <c r="J99" s="95">
        <f t="shared" si="68"/>
        <v>0</v>
      </c>
      <c r="K99" s="95">
        <f t="shared" si="68"/>
        <v>0</v>
      </c>
      <c r="L99" s="95">
        <f t="shared" si="68"/>
        <v>0</v>
      </c>
      <c r="M99" s="95">
        <f t="shared" si="68"/>
        <v>0</v>
      </c>
      <c r="N99" s="95">
        <f t="shared" si="68"/>
        <v>0</v>
      </c>
      <c r="O99" s="95">
        <f t="shared" si="68"/>
        <v>0</v>
      </c>
      <c r="P99" s="95">
        <f t="shared" si="68"/>
        <v>0</v>
      </c>
      <c r="Q99" s="95">
        <f t="shared" si="68"/>
        <v>0</v>
      </c>
      <c r="R99" s="95">
        <f t="shared" si="68"/>
        <v>0</v>
      </c>
      <c r="S99" s="95">
        <f t="shared" si="68"/>
        <v>0</v>
      </c>
      <c r="T99" s="95">
        <f t="shared" si="68"/>
        <v>0</v>
      </c>
      <c r="U99" s="95">
        <f t="shared" si="68"/>
        <v>0</v>
      </c>
      <c r="V99" s="95">
        <f t="shared" si="68"/>
        <v>0</v>
      </c>
      <c r="W99" s="95">
        <f t="shared" si="68"/>
        <v>0</v>
      </c>
      <c r="X99" s="95">
        <f t="shared" si="68"/>
        <v>0</v>
      </c>
      <c r="Y99" s="95">
        <f t="shared" si="68"/>
        <v>0</v>
      </c>
      <c r="Z99" s="121"/>
      <c r="AB99" s="3"/>
      <c r="AC99" s="3"/>
      <c r="AD99" s="3"/>
      <c r="AE99" s="3"/>
      <c r="AF99" s="3"/>
      <c r="AG99" s="3"/>
      <c r="AH99" s="3"/>
      <c r="AI99" s="3"/>
      <c r="AJ99" s="3"/>
      <c r="AK99" s="3"/>
      <c r="AL99" s="3"/>
      <c r="AM99" s="3"/>
      <c r="AN99" s="3"/>
      <c r="AO99" s="3"/>
      <c r="AP99" s="3"/>
      <c r="AQ99" s="3"/>
      <c r="AR99" s="3"/>
      <c r="AS99" s="3"/>
      <c r="AT99" s="3"/>
      <c r="AU99" s="3"/>
      <c r="AV99" s="3"/>
      <c r="AW99" s="3"/>
    </row>
    <row r="100" spans="2:49">
      <c r="B100" s="61" t="str">
        <f>CONCATENATE($C$94,C100)</f>
        <v>Nissan LeafDriftsutgift 3 (per år)</v>
      </c>
      <c r="C100" s="124" t="str">
        <f t="shared" si="66"/>
        <v>Driftsutgift 3 (per år)</v>
      </c>
      <c r="D100" s="137" t="str">
        <f t="shared" si="66"/>
        <v>Forbruk (kjørelengde 1 400 mil årlig forbruk fra spekk/test)</v>
      </c>
      <c r="E100" s="95"/>
      <c r="F100" s="95">
        <f t="shared" ref="F100:Y100" si="69">IF(F$25&lt;=Levetid,$J16*(1+Justert_prisstigning)^F$25,)</f>
        <v>10080</v>
      </c>
      <c r="G100" s="95">
        <f t="shared" si="69"/>
        <v>10080</v>
      </c>
      <c r="H100" s="95">
        <f t="shared" si="69"/>
        <v>10080</v>
      </c>
      <c r="I100" s="95">
        <f t="shared" si="69"/>
        <v>10080</v>
      </c>
      <c r="J100" s="95">
        <f t="shared" si="69"/>
        <v>10080</v>
      </c>
      <c r="K100" s="95">
        <f t="shared" si="69"/>
        <v>10080</v>
      </c>
      <c r="L100" s="95">
        <f t="shared" si="69"/>
        <v>0</v>
      </c>
      <c r="M100" s="95">
        <f t="shared" si="69"/>
        <v>0</v>
      </c>
      <c r="N100" s="95">
        <f t="shared" si="69"/>
        <v>0</v>
      </c>
      <c r="O100" s="95">
        <f t="shared" si="69"/>
        <v>0</v>
      </c>
      <c r="P100" s="95">
        <f t="shared" si="69"/>
        <v>0</v>
      </c>
      <c r="Q100" s="95">
        <f t="shared" si="69"/>
        <v>0</v>
      </c>
      <c r="R100" s="95">
        <f t="shared" si="69"/>
        <v>0</v>
      </c>
      <c r="S100" s="95">
        <f t="shared" si="69"/>
        <v>0</v>
      </c>
      <c r="T100" s="95">
        <f t="shared" si="69"/>
        <v>0</v>
      </c>
      <c r="U100" s="95">
        <f t="shared" si="69"/>
        <v>0</v>
      </c>
      <c r="V100" s="95">
        <f t="shared" si="69"/>
        <v>0</v>
      </c>
      <c r="W100" s="95">
        <f t="shared" si="69"/>
        <v>0</v>
      </c>
      <c r="X100" s="95">
        <f t="shared" si="69"/>
        <v>0</v>
      </c>
      <c r="Y100" s="95">
        <f t="shared" si="69"/>
        <v>0</v>
      </c>
      <c r="Z100" s="121"/>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2:49">
      <c r="B101" s="61" t="str">
        <f t="shared" si="65"/>
        <v>Nissan LeafDriftsutgift 4 (per år)</v>
      </c>
      <c r="C101" s="124" t="str">
        <f t="shared" si="66"/>
        <v>Driftsutgift 4 (per år)</v>
      </c>
      <c r="D101" s="137" t="str">
        <f t="shared" si="66"/>
        <v>Årsavgift</v>
      </c>
      <c r="E101" s="95"/>
      <c r="F101" s="95">
        <f t="shared" ref="F101:Y101" si="70">IF(F$25&lt;=Levetid,$J17*(1+Justert_prisstigning)^F$25,)</f>
        <v>0</v>
      </c>
      <c r="G101" s="95">
        <f t="shared" si="70"/>
        <v>0</v>
      </c>
      <c r="H101" s="95">
        <f t="shared" si="70"/>
        <v>0</v>
      </c>
      <c r="I101" s="95">
        <f t="shared" si="70"/>
        <v>0</v>
      </c>
      <c r="J101" s="95">
        <f t="shared" si="70"/>
        <v>0</v>
      </c>
      <c r="K101" s="95">
        <f t="shared" si="70"/>
        <v>0</v>
      </c>
      <c r="L101" s="95">
        <f t="shared" si="70"/>
        <v>0</v>
      </c>
      <c r="M101" s="95">
        <f t="shared" si="70"/>
        <v>0</v>
      </c>
      <c r="N101" s="95">
        <f t="shared" si="70"/>
        <v>0</v>
      </c>
      <c r="O101" s="95">
        <f t="shared" si="70"/>
        <v>0</v>
      </c>
      <c r="P101" s="95">
        <f t="shared" si="70"/>
        <v>0</v>
      </c>
      <c r="Q101" s="95">
        <f t="shared" si="70"/>
        <v>0</v>
      </c>
      <c r="R101" s="95">
        <f t="shared" si="70"/>
        <v>0</v>
      </c>
      <c r="S101" s="95">
        <f t="shared" si="70"/>
        <v>0</v>
      </c>
      <c r="T101" s="95">
        <f t="shared" si="70"/>
        <v>0</v>
      </c>
      <c r="U101" s="95">
        <f t="shared" si="70"/>
        <v>0</v>
      </c>
      <c r="V101" s="95">
        <f t="shared" si="70"/>
        <v>0</v>
      </c>
      <c r="W101" s="95">
        <f t="shared" si="70"/>
        <v>0</v>
      </c>
      <c r="X101" s="95">
        <f t="shared" si="70"/>
        <v>0</v>
      </c>
      <c r="Y101" s="95">
        <f t="shared" si="70"/>
        <v>0</v>
      </c>
      <c r="Z101" s="121"/>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2:49">
      <c r="B102" s="61" t="str">
        <f t="shared" si="65"/>
        <v>Nissan LeafDriftsutgift 5 (per år)</v>
      </c>
      <c r="C102" s="124" t="str">
        <f t="shared" si="66"/>
        <v>Driftsutgift 5 (per år)</v>
      </c>
      <c r="D102" s="137" t="str">
        <f t="shared" si="66"/>
        <v>Andre driftskostnader</v>
      </c>
      <c r="E102" s="95"/>
      <c r="F102" s="95">
        <f t="shared" ref="F102:Y102" si="71">IF(F$25&lt;=Levetid,$J18*(1+Justert_prisstigning)^F$25,)</f>
        <v>0</v>
      </c>
      <c r="G102" s="95">
        <f t="shared" si="71"/>
        <v>0</v>
      </c>
      <c r="H102" s="95">
        <f t="shared" si="71"/>
        <v>0</v>
      </c>
      <c r="I102" s="95">
        <f t="shared" si="71"/>
        <v>0</v>
      </c>
      <c r="J102" s="95">
        <f t="shared" si="71"/>
        <v>0</v>
      </c>
      <c r="K102" s="95">
        <f t="shared" si="71"/>
        <v>0</v>
      </c>
      <c r="L102" s="95">
        <f t="shared" si="71"/>
        <v>0</v>
      </c>
      <c r="M102" s="95">
        <f t="shared" si="71"/>
        <v>0</v>
      </c>
      <c r="N102" s="95">
        <f t="shared" si="71"/>
        <v>0</v>
      </c>
      <c r="O102" s="95">
        <f t="shared" si="71"/>
        <v>0</v>
      </c>
      <c r="P102" s="95">
        <f t="shared" si="71"/>
        <v>0</v>
      </c>
      <c r="Q102" s="95">
        <f t="shared" si="71"/>
        <v>0</v>
      </c>
      <c r="R102" s="95">
        <f t="shared" si="71"/>
        <v>0</v>
      </c>
      <c r="S102" s="95">
        <f t="shared" si="71"/>
        <v>0</v>
      </c>
      <c r="T102" s="95">
        <f t="shared" si="71"/>
        <v>0</v>
      </c>
      <c r="U102" s="95">
        <f t="shared" si="71"/>
        <v>0</v>
      </c>
      <c r="V102" s="95">
        <f t="shared" si="71"/>
        <v>0</v>
      </c>
      <c r="W102" s="95">
        <f t="shared" si="71"/>
        <v>0</v>
      </c>
      <c r="X102" s="95">
        <f t="shared" si="71"/>
        <v>0</v>
      </c>
      <c r="Y102" s="95">
        <f t="shared" si="71"/>
        <v>0</v>
      </c>
      <c r="Z102" s="121"/>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2:49">
      <c r="B103" s="61" t="str">
        <f t="shared" si="65"/>
        <v>Nissan LeafAvhendingskostnader/restverdier</v>
      </c>
      <c r="C103" s="124" t="str">
        <f>+C21</f>
        <v>Avhendingskostnader/restverdier</v>
      </c>
      <c r="D103" s="137" t="str">
        <f>+D21</f>
        <v>Avhendingsutgifter - salgsinntekter</v>
      </c>
      <c r="E103" s="95">
        <f t="shared" ref="E103:Y103" si="72">IF(Levetid=E25,$J$21*(1+Justert_prisstigning)^E25,)</f>
        <v>0</v>
      </c>
      <c r="F103" s="95">
        <f t="shared" si="72"/>
        <v>0</v>
      </c>
      <c r="G103" s="95">
        <f t="shared" si="72"/>
        <v>0</v>
      </c>
      <c r="H103" s="95">
        <f t="shared" si="72"/>
        <v>0</v>
      </c>
      <c r="I103" s="95">
        <f t="shared" si="72"/>
        <v>0</v>
      </c>
      <c r="J103" s="95">
        <f t="shared" si="72"/>
        <v>0</v>
      </c>
      <c r="K103" s="95">
        <f t="shared" si="72"/>
        <v>-170825</v>
      </c>
      <c r="L103" s="95">
        <f t="shared" si="72"/>
        <v>0</v>
      </c>
      <c r="M103" s="95">
        <f t="shared" si="72"/>
        <v>0</v>
      </c>
      <c r="N103" s="95">
        <f t="shared" si="72"/>
        <v>0</v>
      </c>
      <c r="O103" s="95">
        <f t="shared" si="72"/>
        <v>0</v>
      </c>
      <c r="P103" s="95">
        <f t="shared" si="72"/>
        <v>0</v>
      </c>
      <c r="Q103" s="95">
        <f t="shared" si="72"/>
        <v>0</v>
      </c>
      <c r="R103" s="95">
        <f t="shared" si="72"/>
        <v>0</v>
      </c>
      <c r="S103" s="95">
        <f t="shared" si="72"/>
        <v>0</v>
      </c>
      <c r="T103" s="95">
        <f t="shared" si="72"/>
        <v>0</v>
      </c>
      <c r="U103" s="95">
        <f t="shared" si="72"/>
        <v>0</v>
      </c>
      <c r="V103" s="95">
        <f t="shared" si="72"/>
        <v>0</v>
      </c>
      <c r="W103" s="95">
        <f t="shared" si="72"/>
        <v>0</v>
      </c>
      <c r="X103" s="95">
        <f t="shared" si="72"/>
        <v>0</v>
      </c>
      <c r="Y103" s="95">
        <f t="shared" si="72"/>
        <v>0</v>
      </c>
      <c r="Z103" s="121"/>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2:49">
      <c r="C104" s="124"/>
      <c r="D104" s="137" t="str">
        <f>+D59</f>
        <v>Sum utgifter</v>
      </c>
      <c r="E104" s="95">
        <f>SUM(E95:E103)</f>
        <v>1213910.3534548138</v>
      </c>
      <c r="F104" s="95">
        <f t="shared" ref="F104:Y104" si="73">SUM(F95:F103)</f>
        <v>10080</v>
      </c>
      <c r="G104" s="95">
        <f t="shared" si="73"/>
        <v>10080</v>
      </c>
      <c r="H104" s="95">
        <f t="shared" si="73"/>
        <v>10080</v>
      </c>
      <c r="I104" s="95">
        <f t="shared" si="73"/>
        <v>10080</v>
      </c>
      <c r="J104" s="95">
        <f t="shared" si="73"/>
        <v>10080</v>
      </c>
      <c r="K104" s="95">
        <f t="shared" si="73"/>
        <v>-160745</v>
      </c>
      <c r="L104" s="95">
        <f t="shared" si="73"/>
        <v>0</v>
      </c>
      <c r="M104" s="95">
        <f t="shared" si="73"/>
        <v>0</v>
      </c>
      <c r="N104" s="95">
        <f t="shared" si="73"/>
        <v>0</v>
      </c>
      <c r="O104" s="95">
        <f t="shared" si="73"/>
        <v>0</v>
      </c>
      <c r="P104" s="95">
        <f t="shared" si="73"/>
        <v>0</v>
      </c>
      <c r="Q104" s="95">
        <f t="shared" si="73"/>
        <v>0</v>
      </c>
      <c r="R104" s="95">
        <f t="shared" si="73"/>
        <v>0</v>
      </c>
      <c r="S104" s="95">
        <f t="shared" si="73"/>
        <v>0</v>
      </c>
      <c r="T104" s="95">
        <f t="shared" si="73"/>
        <v>0</v>
      </c>
      <c r="U104" s="95">
        <f t="shared" si="73"/>
        <v>0</v>
      </c>
      <c r="V104" s="95">
        <f t="shared" si="73"/>
        <v>0</v>
      </c>
      <c r="W104" s="95">
        <f t="shared" si="73"/>
        <v>0</v>
      </c>
      <c r="X104" s="95">
        <f t="shared" si="73"/>
        <v>0</v>
      </c>
      <c r="Y104" s="95">
        <f t="shared" si="73"/>
        <v>0</v>
      </c>
      <c r="Z104" s="121"/>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2:49">
      <c r="C105" s="147"/>
      <c r="D105" s="137" t="s">
        <v>21</v>
      </c>
      <c r="E105" s="95">
        <f>+E104*E$23</f>
        <v>1213910.3534548138</v>
      </c>
      <c r="F105" s="95">
        <f t="shared" ref="F105:Y105" si="74">+F104*F$23</f>
        <v>9692.3076923076915</v>
      </c>
      <c r="G105" s="95">
        <f t="shared" si="74"/>
        <v>9319.5266272189347</v>
      </c>
      <c r="H105" s="95">
        <f t="shared" si="74"/>
        <v>8961.083295402821</v>
      </c>
      <c r="I105" s="95">
        <f t="shared" si="74"/>
        <v>8616.4262455796361</v>
      </c>
      <c r="J105" s="95">
        <f t="shared" si="74"/>
        <v>8285.0252361342627</v>
      </c>
      <c r="K105" s="95">
        <f t="shared" si="74"/>
        <v>-127039.10843849227</v>
      </c>
      <c r="L105" s="95">
        <f t="shared" si="74"/>
        <v>0</v>
      </c>
      <c r="M105" s="95">
        <f t="shared" si="74"/>
        <v>0</v>
      </c>
      <c r="N105" s="95">
        <f t="shared" si="74"/>
        <v>0</v>
      </c>
      <c r="O105" s="95">
        <f t="shared" si="74"/>
        <v>0</v>
      </c>
      <c r="P105" s="95">
        <f t="shared" si="74"/>
        <v>0</v>
      </c>
      <c r="Q105" s="95">
        <f t="shared" si="74"/>
        <v>0</v>
      </c>
      <c r="R105" s="95">
        <f t="shared" si="74"/>
        <v>0</v>
      </c>
      <c r="S105" s="95">
        <f t="shared" si="74"/>
        <v>0</v>
      </c>
      <c r="T105" s="95">
        <f t="shared" si="74"/>
        <v>0</v>
      </c>
      <c r="U105" s="95">
        <f t="shared" si="74"/>
        <v>0</v>
      </c>
      <c r="V105" s="95">
        <f t="shared" si="74"/>
        <v>0</v>
      </c>
      <c r="W105" s="95">
        <f t="shared" si="74"/>
        <v>0</v>
      </c>
      <c r="X105" s="95">
        <f t="shared" si="74"/>
        <v>0</v>
      </c>
      <c r="Y105" s="95">
        <f t="shared" si="74"/>
        <v>0</v>
      </c>
      <c r="Z105" s="121">
        <f>SUM(E105:Y105)</f>
        <v>1131745.6141129651</v>
      </c>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2:49">
      <c r="C106" s="124"/>
      <c r="D106" s="95" t="s">
        <v>159</v>
      </c>
      <c r="E106" s="95">
        <f>+E103*E23</f>
        <v>0</v>
      </c>
      <c r="F106" s="95">
        <f t="shared" ref="F106:Y106" si="75">+F103*F23</f>
        <v>0</v>
      </c>
      <c r="G106" s="95">
        <f t="shared" si="75"/>
        <v>0</v>
      </c>
      <c r="H106" s="95">
        <f t="shared" si="75"/>
        <v>0</v>
      </c>
      <c r="I106" s="95">
        <f t="shared" si="75"/>
        <v>0</v>
      </c>
      <c r="J106" s="95">
        <f t="shared" si="75"/>
        <v>0</v>
      </c>
      <c r="K106" s="95">
        <f>+K103*K23</f>
        <v>-135005.47885785214</v>
      </c>
      <c r="L106" s="95">
        <f>+L103*L23</f>
        <v>0</v>
      </c>
      <c r="M106" s="95">
        <f t="shared" si="75"/>
        <v>0</v>
      </c>
      <c r="N106" s="95">
        <f t="shared" si="75"/>
        <v>0</v>
      </c>
      <c r="O106" s="95">
        <f t="shared" si="75"/>
        <v>0</v>
      </c>
      <c r="P106" s="95">
        <f t="shared" si="75"/>
        <v>0</v>
      </c>
      <c r="Q106" s="95">
        <f t="shared" si="75"/>
        <v>0</v>
      </c>
      <c r="R106" s="95">
        <f t="shared" si="75"/>
        <v>0</v>
      </c>
      <c r="S106" s="95">
        <f t="shared" si="75"/>
        <v>0</v>
      </c>
      <c r="T106" s="95">
        <f t="shared" si="75"/>
        <v>0</v>
      </c>
      <c r="U106" s="95">
        <f t="shared" si="75"/>
        <v>0</v>
      </c>
      <c r="V106" s="95">
        <f t="shared" si="75"/>
        <v>0</v>
      </c>
      <c r="W106" s="95">
        <f t="shared" si="75"/>
        <v>0</v>
      </c>
      <c r="X106" s="95">
        <f t="shared" si="75"/>
        <v>0</v>
      </c>
      <c r="Y106" s="95">
        <f t="shared" si="75"/>
        <v>0</v>
      </c>
      <c r="Z106" s="121"/>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2:49">
      <c r="C107" s="143"/>
      <c r="D107" s="144" t="s">
        <v>27</v>
      </c>
      <c r="E107" s="135">
        <f>+E105-E30</f>
        <v>0</v>
      </c>
      <c r="F107" s="135">
        <f>+F105-F30</f>
        <v>0</v>
      </c>
      <c r="G107" s="135">
        <f t="shared" ref="G107:Z107" si="76">+G105-G30</f>
        <v>0</v>
      </c>
      <c r="H107" s="135">
        <f t="shared" si="76"/>
        <v>0</v>
      </c>
      <c r="I107" s="135">
        <f t="shared" si="76"/>
        <v>0</v>
      </c>
      <c r="J107" s="135">
        <f t="shared" si="76"/>
        <v>0</v>
      </c>
      <c r="K107" s="135">
        <f t="shared" si="76"/>
        <v>0</v>
      </c>
      <c r="L107" s="135">
        <f t="shared" si="76"/>
        <v>0</v>
      </c>
      <c r="M107" s="135">
        <f t="shared" si="76"/>
        <v>0</v>
      </c>
      <c r="N107" s="135">
        <f t="shared" si="76"/>
        <v>0</v>
      </c>
      <c r="O107" s="135">
        <f t="shared" si="76"/>
        <v>0</v>
      </c>
      <c r="P107" s="135">
        <f t="shared" si="76"/>
        <v>0</v>
      </c>
      <c r="Q107" s="135">
        <f t="shared" si="76"/>
        <v>0</v>
      </c>
      <c r="R107" s="135">
        <f t="shared" si="76"/>
        <v>0</v>
      </c>
      <c r="S107" s="135">
        <f t="shared" si="76"/>
        <v>0</v>
      </c>
      <c r="T107" s="135">
        <f t="shared" si="76"/>
        <v>0</v>
      </c>
      <c r="U107" s="135">
        <f t="shared" si="76"/>
        <v>0</v>
      </c>
      <c r="V107" s="135">
        <f t="shared" si="76"/>
        <v>0</v>
      </c>
      <c r="W107" s="135">
        <f t="shared" si="76"/>
        <v>0</v>
      </c>
      <c r="X107" s="135">
        <f t="shared" si="76"/>
        <v>0</v>
      </c>
      <c r="Y107" s="135">
        <f t="shared" si="76"/>
        <v>0</v>
      </c>
      <c r="Z107" s="145">
        <f t="shared" si="76"/>
        <v>0</v>
      </c>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2:49">
      <c r="C108" s="34"/>
      <c r="D108" s="36"/>
      <c r="E108" s="31"/>
      <c r="F108" s="31"/>
      <c r="G108" s="31"/>
      <c r="H108" s="31"/>
      <c r="I108" s="31"/>
      <c r="J108" s="31"/>
      <c r="K108" s="36"/>
      <c r="L108" s="36"/>
      <c r="M108" s="36"/>
      <c r="N108" s="36"/>
      <c r="O108" s="36"/>
      <c r="P108" s="36"/>
      <c r="Q108" s="36"/>
      <c r="R108" s="36"/>
      <c r="S108" s="36"/>
      <c r="T108" s="36"/>
      <c r="U108" s="36"/>
      <c r="V108" s="36"/>
      <c r="W108" s="36"/>
      <c r="X108" s="36"/>
      <c r="Y108" s="36"/>
      <c r="Z108" s="36"/>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2:49">
      <c r="B109" s="61"/>
      <c r="C109" s="91" t="str">
        <f>+K7</f>
        <v>Renault Zoe R90 Z.E. 40</v>
      </c>
      <c r="D109" s="92" t="s">
        <v>194</v>
      </c>
      <c r="E109" s="150">
        <v>0</v>
      </c>
      <c r="F109" s="150">
        <v>1</v>
      </c>
      <c r="G109" s="150">
        <v>2</v>
      </c>
      <c r="H109" s="150">
        <v>3</v>
      </c>
      <c r="I109" s="150">
        <v>4</v>
      </c>
      <c r="J109" s="150">
        <v>5</v>
      </c>
      <c r="K109" s="150">
        <v>6</v>
      </c>
      <c r="L109" s="150">
        <v>7</v>
      </c>
      <c r="M109" s="150">
        <v>8</v>
      </c>
      <c r="N109" s="150">
        <v>9</v>
      </c>
      <c r="O109" s="150">
        <v>10</v>
      </c>
      <c r="P109" s="150">
        <v>11</v>
      </c>
      <c r="Q109" s="150">
        <v>12</v>
      </c>
      <c r="R109" s="150">
        <v>13</v>
      </c>
      <c r="S109" s="150">
        <v>14</v>
      </c>
      <c r="T109" s="150">
        <v>15</v>
      </c>
      <c r="U109" s="150">
        <v>16</v>
      </c>
      <c r="V109" s="150">
        <v>17</v>
      </c>
      <c r="W109" s="150">
        <v>18</v>
      </c>
      <c r="X109" s="150">
        <v>19</v>
      </c>
      <c r="Y109" s="150">
        <v>20</v>
      </c>
      <c r="Z109" s="151"/>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2:49">
      <c r="B110" s="2" t="str">
        <f>CONCATENATE($C$109,C110)</f>
        <v>Renault Zoe R90 Z.E. 40Investeringskost 1</v>
      </c>
      <c r="C110" s="124" t="str">
        <f t="shared" ref="C110:D112" si="77">+C9</f>
        <v>Investeringskost 1</v>
      </c>
      <c r="D110" s="137" t="str">
        <f t="shared" si="77"/>
        <v>Bil med sommer og vinterdekk</v>
      </c>
      <c r="E110" s="95">
        <f>+K9</f>
        <v>1147000</v>
      </c>
      <c r="F110" s="95"/>
      <c r="G110" s="104"/>
      <c r="H110" s="95"/>
      <c r="I110" s="95"/>
      <c r="J110" s="95"/>
      <c r="K110" s="95"/>
      <c r="L110" s="95"/>
      <c r="M110" s="95"/>
      <c r="N110" s="95"/>
      <c r="O110" s="95"/>
      <c r="P110" s="95"/>
      <c r="Q110" s="95"/>
      <c r="R110" s="95"/>
      <c r="S110" s="95"/>
      <c r="T110" s="95"/>
      <c r="U110" s="95"/>
      <c r="V110" s="95"/>
      <c r="W110" s="95"/>
      <c r="X110" s="95"/>
      <c r="Y110" s="95"/>
      <c r="Z110" s="121"/>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2:49">
      <c r="B111" s="2" t="str">
        <f t="shared" ref="B111:B118" si="78">CONCATENATE($C$109,C111)</f>
        <v>Renault Zoe R90 Z.E. 40Investeringskost 2</v>
      </c>
      <c r="C111" s="124" t="str">
        <f t="shared" si="77"/>
        <v>Investeringskost 2</v>
      </c>
      <c r="D111" s="137" t="str">
        <f t="shared" si="77"/>
        <v>Ekstrautstyr: automatgir og ryggesensor</v>
      </c>
      <c r="E111" s="95">
        <f>+K10</f>
        <v>0</v>
      </c>
      <c r="F111" s="95"/>
      <c r="G111" s="104"/>
      <c r="H111" s="95"/>
      <c r="I111" s="95"/>
      <c r="J111" s="95"/>
      <c r="K111" s="95"/>
      <c r="L111" s="95"/>
      <c r="M111" s="95"/>
      <c r="N111" s="95"/>
      <c r="O111" s="95"/>
      <c r="P111" s="95"/>
      <c r="Q111" s="95"/>
      <c r="R111" s="95"/>
      <c r="S111" s="95"/>
      <c r="T111" s="95"/>
      <c r="U111" s="95"/>
      <c r="V111" s="95"/>
      <c r="W111" s="95"/>
      <c r="X111" s="95"/>
      <c r="Y111" s="95"/>
      <c r="Z111" s="121"/>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2:49">
      <c r="B112" s="2" t="str">
        <f t="shared" si="78"/>
        <v>Renault Zoe R90 Z.E. 40Investeringskost 3</v>
      </c>
      <c r="C112" s="124" t="str">
        <f t="shared" si="77"/>
        <v>Investeringskost 3</v>
      </c>
      <c r="D112" s="137" t="str">
        <f t="shared" si="77"/>
        <v>Andre investeringskostnader</v>
      </c>
      <c r="E112" s="95">
        <f>+K11</f>
        <v>0</v>
      </c>
      <c r="F112" s="95"/>
      <c r="G112" s="104"/>
      <c r="H112" s="95"/>
      <c r="I112" s="95"/>
      <c r="J112" s="95"/>
      <c r="K112" s="95"/>
      <c r="L112" s="95"/>
      <c r="M112" s="95"/>
      <c r="N112" s="95"/>
      <c r="O112" s="95"/>
      <c r="P112" s="95"/>
      <c r="Q112" s="95"/>
      <c r="R112" s="95"/>
      <c r="S112" s="95"/>
      <c r="T112" s="95"/>
      <c r="U112" s="95"/>
      <c r="V112" s="95"/>
      <c r="W112" s="95"/>
      <c r="X112" s="95"/>
      <c r="Y112" s="95"/>
      <c r="Z112" s="121"/>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2:49">
      <c r="B113" s="2" t="str">
        <f t="shared" si="78"/>
        <v>Renault Zoe R90 Z.E. 40Driftsutgift 1 (per år)</v>
      </c>
      <c r="C113" s="124" t="str">
        <f t="shared" ref="C113:D117" si="79">+C14</f>
        <v>Driftsutgift 1 (per år)</v>
      </c>
      <c r="D113" s="137" t="str">
        <f t="shared" si="79"/>
        <v>Forsikring</v>
      </c>
      <c r="E113" s="95"/>
      <c r="F113" s="95">
        <f t="shared" ref="F113:Y113" si="80">IF(F$25&lt;=Levetid,$K14*(1+Justert_prisstigning)^F$25,)</f>
        <v>15000</v>
      </c>
      <c r="G113" s="95">
        <f t="shared" si="80"/>
        <v>15000</v>
      </c>
      <c r="H113" s="95">
        <f t="shared" si="80"/>
        <v>15000</v>
      </c>
      <c r="I113" s="95">
        <f t="shared" si="80"/>
        <v>15000</v>
      </c>
      <c r="J113" s="95">
        <f t="shared" si="80"/>
        <v>15000</v>
      </c>
      <c r="K113" s="95">
        <f t="shared" si="80"/>
        <v>15000</v>
      </c>
      <c r="L113" s="95">
        <f t="shared" si="80"/>
        <v>0</v>
      </c>
      <c r="M113" s="95">
        <f t="shared" si="80"/>
        <v>0</v>
      </c>
      <c r="N113" s="95">
        <f t="shared" si="80"/>
        <v>0</v>
      </c>
      <c r="O113" s="95">
        <f t="shared" si="80"/>
        <v>0</v>
      </c>
      <c r="P113" s="95">
        <f t="shared" si="80"/>
        <v>0</v>
      </c>
      <c r="Q113" s="95">
        <f t="shared" si="80"/>
        <v>0</v>
      </c>
      <c r="R113" s="95">
        <f t="shared" si="80"/>
        <v>0</v>
      </c>
      <c r="S113" s="95">
        <f t="shared" si="80"/>
        <v>0</v>
      </c>
      <c r="T113" s="95">
        <f t="shared" si="80"/>
        <v>0</v>
      </c>
      <c r="U113" s="95">
        <f t="shared" si="80"/>
        <v>0</v>
      </c>
      <c r="V113" s="95">
        <f t="shared" si="80"/>
        <v>0</v>
      </c>
      <c r="W113" s="95">
        <f t="shared" si="80"/>
        <v>0</v>
      </c>
      <c r="X113" s="95">
        <f t="shared" si="80"/>
        <v>0</v>
      </c>
      <c r="Y113" s="95">
        <f t="shared" si="80"/>
        <v>0</v>
      </c>
      <c r="Z113" s="121"/>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2:49">
      <c r="B114" s="2" t="str">
        <f t="shared" si="78"/>
        <v>Renault Zoe R90 Z.E. 40Driftsutgift 2 (per år)</v>
      </c>
      <c r="C114" s="124" t="str">
        <f t="shared" si="79"/>
        <v>Driftsutgift 2 (per år)</v>
      </c>
      <c r="D114" s="137" t="str">
        <f t="shared" si="79"/>
        <v>Reparasjon og vedlikehold</v>
      </c>
      <c r="E114" s="95"/>
      <c r="F114" s="95">
        <f t="shared" ref="F114:Y114" si="81">IF(F$25&lt;=Levetid,$K15*(1+Justert_prisstigning)^F$25,)</f>
        <v>19499</v>
      </c>
      <c r="G114" s="95">
        <f t="shared" si="81"/>
        <v>19499</v>
      </c>
      <c r="H114" s="95">
        <f t="shared" si="81"/>
        <v>19499</v>
      </c>
      <c r="I114" s="95">
        <f t="shared" si="81"/>
        <v>19499</v>
      </c>
      <c r="J114" s="95">
        <f t="shared" si="81"/>
        <v>19499</v>
      </c>
      <c r="K114" s="95">
        <f t="shared" si="81"/>
        <v>19499</v>
      </c>
      <c r="L114" s="95">
        <f t="shared" si="81"/>
        <v>0</v>
      </c>
      <c r="M114" s="95">
        <f t="shared" si="81"/>
        <v>0</v>
      </c>
      <c r="N114" s="95">
        <f t="shared" si="81"/>
        <v>0</v>
      </c>
      <c r="O114" s="95">
        <f t="shared" si="81"/>
        <v>0</v>
      </c>
      <c r="P114" s="95">
        <f t="shared" si="81"/>
        <v>0</v>
      </c>
      <c r="Q114" s="95">
        <f t="shared" si="81"/>
        <v>0</v>
      </c>
      <c r="R114" s="95">
        <f t="shared" si="81"/>
        <v>0</v>
      </c>
      <c r="S114" s="95">
        <f t="shared" si="81"/>
        <v>0</v>
      </c>
      <c r="T114" s="95">
        <f t="shared" si="81"/>
        <v>0</v>
      </c>
      <c r="U114" s="95">
        <f t="shared" si="81"/>
        <v>0</v>
      </c>
      <c r="V114" s="95">
        <f t="shared" si="81"/>
        <v>0</v>
      </c>
      <c r="W114" s="95">
        <f t="shared" si="81"/>
        <v>0</v>
      </c>
      <c r="X114" s="95">
        <f t="shared" si="81"/>
        <v>0</v>
      </c>
      <c r="Y114" s="95">
        <f t="shared" si="81"/>
        <v>0</v>
      </c>
      <c r="Z114" s="121"/>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2:49">
      <c r="B115" s="2" t="str">
        <f t="shared" si="78"/>
        <v>Renault Zoe R90 Z.E. 40Driftsutgift 3 (per år)</v>
      </c>
      <c r="C115" s="124" t="str">
        <f t="shared" si="79"/>
        <v>Driftsutgift 3 (per år)</v>
      </c>
      <c r="D115" s="137" t="str">
        <f t="shared" si="79"/>
        <v>Forbruk (kjørelengde 1 400 mil årlig forbruk fra spekk/test)</v>
      </c>
      <c r="E115" s="95"/>
      <c r="F115" s="95">
        <f t="shared" ref="F115:Y115" si="82">IF(F$25&lt;=Levetid,$K16*(1+Justert_prisstigning)^F$25,)</f>
        <v>8937.6</v>
      </c>
      <c r="G115" s="95">
        <f t="shared" si="82"/>
        <v>8937.6</v>
      </c>
      <c r="H115" s="95">
        <f t="shared" si="82"/>
        <v>8937.6</v>
      </c>
      <c r="I115" s="95">
        <f t="shared" si="82"/>
        <v>8937.6</v>
      </c>
      <c r="J115" s="95">
        <f t="shared" si="82"/>
        <v>8937.6</v>
      </c>
      <c r="K115" s="95">
        <f t="shared" si="82"/>
        <v>8937.6</v>
      </c>
      <c r="L115" s="95">
        <f t="shared" si="82"/>
        <v>0</v>
      </c>
      <c r="M115" s="95">
        <f t="shared" si="82"/>
        <v>0</v>
      </c>
      <c r="N115" s="95">
        <f t="shared" si="82"/>
        <v>0</v>
      </c>
      <c r="O115" s="95">
        <f t="shared" si="82"/>
        <v>0</v>
      </c>
      <c r="P115" s="95">
        <f t="shared" si="82"/>
        <v>0</v>
      </c>
      <c r="Q115" s="95">
        <f t="shared" si="82"/>
        <v>0</v>
      </c>
      <c r="R115" s="95">
        <f t="shared" si="82"/>
        <v>0</v>
      </c>
      <c r="S115" s="95">
        <f t="shared" si="82"/>
        <v>0</v>
      </c>
      <c r="T115" s="95">
        <f t="shared" si="82"/>
        <v>0</v>
      </c>
      <c r="U115" s="95">
        <f t="shared" si="82"/>
        <v>0</v>
      </c>
      <c r="V115" s="95">
        <f t="shared" si="82"/>
        <v>0</v>
      </c>
      <c r="W115" s="95">
        <f t="shared" si="82"/>
        <v>0</v>
      </c>
      <c r="X115" s="95">
        <f t="shared" si="82"/>
        <v>0</v>
      </c>
      <c r="Y115" s="95">
        <f t="shared" si="82"/>
        <v>0</v>
      </c>
      <c r="Z115" s="121"/>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2:49">
      <c r="B116" s="2" t="str">
        <f t="shared" si="78"/>
        <v>Renault Zoe R90 Z.E. 40Driftsutgift 4 (per år)</v>
      </c>
      <c r="C116" s="124" t="str">
        <f t="shared" si="79"/>
        <v>Driftsutgift 4 (per år)</v>
      </c>
      <c r="D116" s="137" t="str">
        <f t="shared" si="79"/>
        <v>Årsavgift</v>
      </c>
      <c r="E116" s="95"/>
      <c r="F116" s="95">
        <f t="shared" ref="F116:Y116" si="83">IF(F$25&lt;=Levetid,$K17*(1+Justert_prisstigning)^F$25,)</f>
        <v>2275</v>
      </c>
      <c r="G116" s="95">
        <f t="shared" si="83"/>
        <v>2275</v>
      </c>
      <c r="H116" s="95">
        <f t="shared" si="83"/>
        <v>2275</v>
      </c>
      <c r="I116" s="95">
        <f t="shared" si="83"/>
        <v>2275</v>
      </c>
      <c r="J116" s="95">
        <f t="shared" si="83"/>
        <v>2275</v>
      </c>
      <c r="K116" s="95">
        <f t="shared" si="83"/>
        <v>2275</v>
      </c>
      <c r="L116" s="95">
        <f t="shared" si="83"/>
        <v>0</v>
      </c>
      <c r="M116" s="95">
        <f t="shared" si="83"/>
        <v>0</v>
      </c>
      <c r="N116" s="95">
        <f t="shared" si="83"/>
        <v>0</v>
      </c>
      <c r="O116" s="95">
        <f t="shared" si="83"/>
        <v>0</v>
      </c>
      <c r="P116" s="95">
        <f t="shared" si="83"/>
        <v>0</v>
      </c>
      <c r="Q116" s="95">
        <f t="shared" si="83"/>
        <v>0</v>
      </c>
      <c r="R116" s="95">
        <f t="shared" si="83"/>
        <v>0</v>
      </c>
      <c r="S116" s="95">
        <f t="shared" si="83"/>
        <v>0</v>
      </c>
      <c r="T116" s="95">
        <f t="shared" si="83"/>
        <v>0</v>
      </c>
      <c r="U116" s="95">
        <f t="shared" si="83"/>
        <v>0</v>
      </c>
      <c r="V116" s="95">
        <f t="shared" si="83"/>
        <v>0</v>
      </c>
      <c r="W116" s="95">
        <f t="shared" si="83"/>
        <v>0</v>
      </c>
      <c r="X116" s="95">
        <f t="shared" si="83"/>
        <v>0</v>
      </c>
      <c r="Y116" s="95">
        <f t="shared" si="83"/>
        <v>0</v>
      </c>
      <c r="Z116" s="121"/>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2:49">
      <c r="B117" s="2" t="str">
        <f t="shared" si="78"/>
        <v>Renault Zoe R90 Z.E. 40Driftsutgift 5 (per år)</v>
      </c>
      <c r="C117" s="124" t="str">
        <f t="shared" si="79"/>
        <v>Driftsutgift 5 (per år)</v>
      </c>
      <c r="D117" s="137" t="str">
        <f t="shared" si="79"/>
        <v>Andre driftskostnader</v>
      </c>
      <c r="E117" s="95"/>
      <c r="F117" s="95">
        <f t="shared" ref="F117:Y117" si="84">IF(F$25&lt;=Levetid,$K18*(1+Justert_prisstigning)^F$25,)</f>
        <v>0</v>
      </c>
      <c r="G117" s="95">
        <f t="shared" si="84"/>
        <v>0</v>
      </c>
      <c r="H117" s="95">
        <f t="shared" si="84"/>
        <v>0</v>
      </c>
      <c r="I117" s="95">
        <f t="shared" si="84"/>
        <v>0</v>
      </c>
      <c r="J117" s="95">
        <f t="shared" si="84"/>
        <v>0</v>
      </c>
      <c r="K117" s="95">
        <f t="shared" si="84"/>
        <v>0</v>
      </c>
      <c r="L117" s="95">
        <f t="shared" si="84"/>
        <v>0</v>
      </c>
      <c r="M117" s="95">
        <f t="shared" si="84"/>
        <v>0</v>
      </c>
      <c r="N117" s="95">
        <f t="shared" si="84"/>
        <v>0</v>
      </c>
      <c r="O117" s="95">
        <f t="shared" si="84"/>
        <v>0</v>
      </c>
      <c r="P117" s="95">
        <f t="shared" si="84"/>
        <v>0</v>
      </c>
      <c r="Q117" s="95">
        <f t="shared" si="84"/>
        <v>0</v>
      </c>
      <c r="R117" s="95">
        <f t="shared" si="84"/>
        <v>0</v>
      </c>
      <c r="S117" s="95">
        <f t="shared" si="84"/>
        <v>0</v>
      </c>
      <c r="T117" s="95">
        <f t="shared" si="84"/>
        <v>0</v>
      </c>
      <c r="U117" s="95">
        <f t="shared" si="84"/>
        <v>0</v>
      </c>
      <c r="V117" s="95">
        <f t="shared" si="84"/>
        <v>0</v>
      </c>
      <c r="W117" s="95">
        <f t="shared" si="84"/>
        <v>0</v>
      </c>
      <c r="X117" s="95">
        <f t="shared" si="84"/>
        <v>0</v>
      </c>
      <c r="Y117" s="95">
        <f t="shared" si="84"/>
        <v>0</v>
      </c>
      <c r="Z117" s="121"/>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2:49">
      <c r="B118" s="2" t="str">
        <f t="shared" si="78"/>
        <v>Renault Zoe R90 Z.E. 40Avhendingskostnader/restverdier</v>
      </c>
      <c r="C118" s="124" t="str">
        <f>+C21</f>
        <v>Avhendingskostnader/restverdier</v>
      </c>
      <c r="D118" s="137" t="str">
        <f>+D21</f>
        <v>Avhendingsutgifter - salgsinntekter</v>
      </c>
      <c r="E118" s="95">
        <f t="shared" ref="E118:Y118" si="85">IF(Levetid=E25,$K$21*(1+Justert_prisstigning)^E25,)</f>
        <v>0</v>
      </c>
      <c r="F118" s="95">
        <f t="shared" si="85"/>
        <v>0</v>
      </c>
      <c r="G118" s="95">
        <f t="shared" si="85"/>
        <v>0</v>
      </c>
      <c r="H118" s="95">
        <f t="shared" si="85"/>
        <v>0</v>
      </c>
      <c r="I118" s="95">
        <f t="shared" si="85"/>
        <v>0</v>
      </c>
      <c r="J118" s="95">
        <f t="shared" si="85"/>
        <v>0</v>
      </c>
      <c r="K118" s="95">
        <f t="shared" si="85"/>
        <v>-191166.66666666669</v>
      </c>
      <c r="L118" s="95">
        <f t="shared" si="85"/>
        <v>0</v>
      </c>
      <c r="M118" s="95">
        <f t="shared" si="85"/>
        <v>0</v>
      </c>
      <c r="N118" s="95">
        <f t="shared" si="85"/>
        <v>0</v>
      </c>
      <c r="O118" s="95">
        <f t="shared" si="85"/>
        <v>0</v>
      </c>
      <c r="P118" s="95">
        <f t="shared" si="85"/>
        <v>0</v>
      </c>
      <c r="Q118" s="95">
        <f t="shared" si="85"/>
        <v>0</v>
      </c>
      <c r="R118" s="95">
        <f t="shared" si="85"/>
        <v>0</v>
      </c>
      <c r="S118" s="95">
        <f t="shared" si="85"/>
        <v>0</v>
      </c>
      <c r="T118" s="95">
        <f t="shared" si="85"/>
        <v>0</v>
      </c>
      <c r="U118" s="95">
        <f t="shared" si="85"/>
        <v>0</v>
      </c>
      <c r="V118" s="95">
        <f t="shared" si="85"/>
        <v>0</v>
      </c>
      <c r="W118" s="95">
        <f t="shared" si="85"/>
        <v>0</v>
      </c>
      <c r="X118" s="95">
        <f t="shared" si="85"/>
        <v>0</v>
      </c>
      <c r="Y118" s="95">
        <f t="shared" si="85"/>
        <v>0</v>
      </c>
      <c r="Z118" s="121"/>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2:49">
      <c r="C119" s="124"/>
      <c r="D119" s="137" t="s">
        <v>29</v>
      </c>
      <c r="E119" s="95">
        <f>SUM(E110:E118)</f>
        <v>1147000</v>
      </c>
      <c r="F119" s="95">
        <f>SUM(F110:F118)</f>
        <v>45711.6</v>
      </c>
      <c r="G119" s="95">
        <f t="shared" ref="G119:O119" si="86">SUM(G110:G118)</f>
        <v>45711.6</v>
      </c>
      <c r="H119" s="95">
        <f t="shared" si="86"/>
        <v>45711.6</v>
      </c>
      <c r="I119" s="95">
        <f t="shared" si="86"/>
        <v>45711.6</v>
      </c>
      <c r="J119" s="95">
        <f t="shared" si="86"/>
        <v>45711.6</v>
      </c>
      <c r="K119" s="95">
        <f>SUM(K110:K118)</f>
        <v>-145455.06666666668</v>
      </c>
      <c r="L119" s="95">
        <f>SUM(L110:L118)</f>
        <v>0</v>
      </c>
      <c r="M119" s="95">
        <f t="shared" si="86"/>
        <v>0</v>
      </c>
      <c r="N119" s="95">
        <f t="shared" si="86"/>
        <v>0</v>
      </c>
      <c r="O119" s="95">
        <f t="shared" si="86"/>
        <v>0</v>
      </c>
      <c r="P119" s="95">
        <f t="shared" ref="P119:Y119" si="87">SUM(P110:P118)</f>
        <v>0</v>
      </c>
      <c r="Q119" s="95">
        <f t="shared" si="87"/>
        <v>0</v>
      </c>
      <c r="R119" s="95">
        <f t="shared" si="87"/>
        <v>0</v>
      </c>
      <c r="S119" s="95">
        <f t="shared" si="87"/>
        <v>0</v>
      </c>
      <c r="T119" s="95">
        <f t="shared" si="87"/>
        <v>0</v>
      </c>
      <c r="U119" s="95">
        <f t="shared" si="87"/>
        <v>0</v>
      </c>
      <c r="V119" s="95">
        <f t="shared" si="87"/>
        <v>0</v>
      </c>
      <c r="W119" s="95">
        <f t="shared" si="87"/>
        <v>0</v>
      </c>
      <c r="X119" s="95">
        <f t="shared" si="87"/>
        <v>0</v>
      </c>
      <c r="Y119" s="95">
        <f t="shared" si="87"/>
        <v>0</v>
      </c>
      <c r="Z119" s="121"/>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2:49">
      <c r="C120" s="124"/>
      <c r="D120" s="137" t="s">
        <v>21</v>
      </c>
      <c r="E120" s="95">
        <f>+E23*E119</f>
        <v>1147000</v>
      </c>
      <c r="F120" s="95">
        <f t="shared" ref="F120:O120" si="88">+F119*F$23</f>
        <v>43953.461538461532</v>
      </c>
      <c r="G120" s="95">
        <f t="shared" si="88"/>
        <v>42262.943786982243</v>
      </c>
      <c r="H120" s="95">
        <f t="shared" si="88"/>
        <v>40637.445949021392</v>
      </c>
      <c r="I120" s="95">
        <f t="shared" si="88"/>
        <v>39074.467258674405</v>
      </c>
      <c r="J120" s="95">
        <f t="shared" si="88"/>
        <v>37571.603133340774</v>
      </c>
      <c r="K120" s="95">
        <f t="shared" si="88"/>
        <v>-114955.2520277134</v>
      </c>
      <c r="L120" s="95">
        <f t="shared" si="88"/>
        <v>0</v>
      </c>
      <c r="M120" s="95">
        <f t="shared" si="88"/>
        <v>0</v>
      </c>
      <c r="N120" s="95">
        <f t="shared" si="88"/>
        <v>0</v>
      </c>
      <c r="O120" s="95">
        <f t="shared" si="88"/>
        <v>0</v>
      </c>
      <c r="P120" s="95">
        <f t="shared" ref="P120:Y120" si="89">+P119*P$23</f>
        <v>0</v>
      </c>
      <c r="Q120" s="95">
        <f t="shared" si="89"/>
        <v>0</v>
      </c>
      <c r="R120" s="95">
        <f t="shared" si="89"/>
        <v>0</v>
      </c>
      <c r="S120" s="95">
        <f t="shared" si="89"/>
        <v>0</v>
      </c>
      <c r="T120" s="95">
        <f t="shared" si="89"/>
        <v>0</v>
      </c>
      <c r="U120" s="95">
        <f t="shared" si="89"/>
        <v>0</v>
      </c>
      <c r="V120" s="95">
        <f t="shared" si="89"/>
        <v>0</v>
      </c>
      <c r="W120" s="95">
        <f t="shared" si="89"/>
        <v>0</v>
      </c>
      <c r="X120" s="95">
        <f t="shared" si="89"/>
        <v>0</v>
      </c>
      <c r="Y120" s="95">
        <f t="shared" si="89"/>
        <v>0</v>
      </c>
      <c r="Z120" s="121">
        <f>SUM(E120:Y120)</f>
        <v>1235544.6696387669</v>
      </c>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2:49">
      <c r="C121" s="124"/>
      <c r="D121" s="95" t="s">
        <v>159</v>
      </c>
      <c r="E121" s="95">
        <f t="shared" ref="E121:K121" si="90">+E118*E$23</f>
        <v>0</v>
      </c>
      <c r="F121" s="95">
        <f t="shared" si="90"/>
        <v>0</v>
      </c>
      <c r="G121" s="95">
        <f t="shared" si="90"/>
        <v>0</v>
      </c>
      <c r="H121" s="95">
        <f t="shared" si="90"/>
        <v>0</v>
      </c>
      <c r="I121" s="95">
        <f t="shared" si="90"/>
        <v>0</v>
      </c>
      <c r="J121" s="95">
        <f t="shared" si="90"/>
        <v>0</v>
      </c>
      <c r="K121" s="95">
        <f t="shared" si="90"/>
        <v>-151081.79350207953</v>
      </c>
      <c r="L121" s="95">
        <f t="shared" ref="L121:X121" si="91">+L118*L$23</f>
        <v>0</v>
      </c>
      <c r="M121" s="95">
        <f t="shared" si="91"/>
        <v>0</v>
      </c>
      <c r="N121" s="95">
        <f t="shared" si="91"/>
        <v>0</v>
      </c>
      <c r="O121" s="95">
        <f t="shared" si="91"/>
        <v>0</v>
      </c>
      <c r="P121" s="95">
        <f t="shared" si="91"/>
        <v>0</v>
      </c>
      <c r="Q121" s="95">
        <f t="shared" si="91"/>
        <v>0</v>
      </c>
      <c r="R121" s="95">
        <f t="shared" si="91"/>
        <v>0</v>
      </c>
      <c r="S121" s="95">
        <f t="shared" si="91"/>
        <v>0</v>
      </c>
      <c r="T121" s="95">
        <f t="shared" si="91"/>
        <v>0</v>
      </c>
      <c r="U121" s="95">
        <f t="shared" si="91"/>
        <v>0</v>
      </c>
      <c r="V121" s="95">
        <f t="shared" si="91"/>
        <v>0</v>
      </c>
      <c r="W121" s="95">
        <f t="shared" si="91"/>
        <v>0</v>
      </c>
      <c r="X121" s="95">
        <f t="shared" si="91"/>
        <v>0</v>
      </c>
      <c r="Y121" s="95">
        <f>+Y118*Y$23</f>
        <v>0</v>
      </c>
      <c r="Z121" s="121"/>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2:49">
      <c r="C122" s="143"/>
      <c r="D122" s="144" t="s">
        <v>27</v>
      </c>
      <c r="E122" s="135">
        <f t="shared" ref="E122:O122" si="92">+E120-E31</f>
        <v>0</v>
      </c>
      <c r="F122" s="135">
        <f t="shared" si="92"/>
        <v>0</v>
      </c>
      <c r="G122" s="135">
        <f t="shared" si="92"/>
        <v>0</v>
      </c>
      <c r="H122" s="135">
        <f t="shared" si="92"/>
        <v>0</v>
      </c>
      <c r="I122" s="135">
        <f t="shared" si="92"/>
        <v>0</v>
      </c>
      <c r="J122" s="135">
        <f t="shared" si="92"/>
        <v>0</v>
      </c>
      <c r="K122" s="135">
        <f t="shared" si="92"/>
        <v>0</v>
      </c>
      <c r="L122" s="135">
        <f t="shared" si="92"/>
        <v>0</v>
      </c>
      <c r="M122" s="135">
        <f t="shared" si="92"/>
        <v>0</v>
      </c>
      <c r="N122" s="135">
        <f t="shared" si="92"/>
        <v>0</v>
      </c>
      <c r="O122" s="135">
        <f t="shared" si="92"/>
        <v>0</v>
      </c>
      <c r="P122" s="135">
        <f t="shared" ref="P122:Y122" si="93">+P120-P31</f>
        <v>0</v>
      </c>
      <c r="Q122" s="135">
        <f t="shared" si="93"/>
        <v>0</v>
      </c>
      <c r="R122" s="135">
        <f t="shared" si="93"/>
        <v>0</v>
      </c>
      <c r="S122" s="135">
        <f t="shared" si="93"/>
        <v>0</v>
      </c>
      <c r="T122" s="135">
        <f t="shared" si="93"/>
        <v>0</v>
      </c>
      <c r="U122" s="135">
        <f t="shared" si="93"/>
        <v>0</v>
      </c>
      <c r="V122" s="135">
        <f t="shared" si="93"/>
        <v>0</v>
      </c>
      <c r="W122" s="135">
        <f t="shared" si="93"/>
        <v>0</v>
      </c>
      <c r="X122" s="135">
        <f t="shared" si="93"/>
        <v>0</v>
      </c>
      <c r="Y122" s="135">
        <f t="shared" si="93"/>
        <v>0</v>
      </c>
      <c r="Z122" s="145">
        <f>+Z120-Z31</f>
        <v>0</v>
      </c>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2:49">
      <c r="C123" s="34"/>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2:49">
      <c r="B124" s="61"/>
      <c r="C124" s="91" t="str">
        <f>+L7</f>
        <v>BMW i3 (22 og 33 kWh)</v>
      </c>
      <c r="D124" s="92" t="s">
        <v>194</v>
      </c>
      <c r="E124" s="150">
        <v>0</v>
      </c>
      <c r="F124" s="150">
        <v>1</v>
      </c>
      <c r="G124" s="150">
        <v>2</v>
      </c>
      <c r="H124" s="150">
        <v>3</v>
      </c>
      <c r="I124" s="150">
        <v>4</v>
      </c>
      <c r="J124" s="150">
        <v>5</v>
      </c>
      <c r="K124" s="150">
        <v>6</v>
      </c>
      <c r="L124" s="150">
        <v>7</v>
      </c>
      <c r="M124" s="150">
        <v>8</v>
      </c>
      <c r="N124" s="150">
        <v>9</v>
      </c>
      <c r="O124" s="150">
        <v>10</v>
      </c>
      <c r="P124" s="150">
        <v>11</v>
      </c>
      <c r="Q124" s="150">
        <v>12</v>
      </c>
      <c r="R124" s="150">
        <v>13</v>
      </c>
      <c r="S124" s="150">
        <v>14</v>
      </c>
      <c r="T124" s="150">
        <v>15</v>
      </c>
      <c r="U124" s="150">
        <v>16</v>
      </c>
      <c r="V124" s="150">
        <v>17</v>
      </c>
      <c r="W124" s="150">
        <v>18</v>
      </c>
      <c r="X124" s="150">
        <v>19</v>
      </c>
      <c r="Y124" s="150">
        <v>20</v>
      </c>
      <c r="Z124" s="151"/>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2:49">
      <c r="B125" s="61" t="str">
        <f>CONCATENATE($C$124,C125)</f>
        <v>BMW i3 (22 og 33 kWh)Investeringskost 1</v>
      </c>
      <c r="C125" s="124" t="str">
        <f t="shared" ref="C125:D132" si="94">+C37</f>
        <v>Investeringskost 1</v>
      </c>
      <c r="D125" s="137" t="str">
        <f t="shared" si="94"/>
        <v>Bil med sommer og vinterdekk</v>
      </c>
      <c r="E125" s="95">
        <f>+L9</f>
        <v>1780000</v>
      </c>
      <c r="F125" s="95"/>
      <c r="G125" s="104"/>
      <c r="H125" s="95"/>
      <c r="I125" s="95"/>
      <c r="J125" s="95"/>
      <c r="K125" s="95"/>
      <c r="L125" s="95"/>
      <c r="M125" s="95"/>
      <c r="N125" s="95"/>
      <c r="O125" s="95"/>
      <c r="P125" s="95"/>
      <c r="Q125" s="95"/>
      <c r="R125" s="95"/>
      <c r="S125" s="95"/>
      <c r="T125" s="95"/>
      <c r="U125" s="95"/>
      <c r="V125" s="95"/>
      <c r="W125" s="95"/>
      <c r="X125" s="95"/>
      <c r="Y125" s="95"/>
      <c r="Z125" s="121"/>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2:49">
      <c r="B126" s="61" t="str">
        <f t="shared" ref="B126:B133" si="95">CONCATENATE($C$124,C126)</f>
        <v>BMW i3 (22 og 33 kWh)Investeringskost 2</v>
      </c>
      <c r="C126" s="124" t="str">
        <f t="shared" si="94"/>
        <v>Investeringskost 2</v>
      </c>
      <c r="D126" s="137" t="str">
        <f t="shared" si="94"/>
        <v>Ekstrautstyr: automatgir og ryggesensor</v>
      </c>
      <c r="E126" s="95">
        <f>+L10</f>
        <v>0</v>
      </c>
      <c r="F126" s="95"/>
      <c r="G126" s="104"/>
      <c r="H126" s="95"/>
      <c r="I126" s="95"/>
      <c r="J126" s="95"/>
      <c r="K126" s="95"/>
      <c r="L126" s="95"/>
      <c r="M126" s="95"/>
      <c r="N126" s="95"/>
      <c r="O126" s="95"/>
      <c r="P126" s="95"/>
      <c r="Q126" s="95"/>
      <c r="R126" s="95"/>
      <c r="S126" s="95"/>
      <c r="T126" s="95"/>
      <c r="U126" s="95"/>
      <c r="V126" s="95"/>
      <c r="W126" s="95"/>
      <c r="X126" s="95"/>
      <c r="Y126" s="95"/>
      <c r="Z126" s="121"/>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2:49">
      <c r="B127" s="2" t="str">
        <f t="shared" si="95"/>
        <v>BMW i3 (22 og 33 kWh)Investeringskost 3</v>
      </c>
      <c r="C127" s="124" t="str">
        <f t="shared" si="94"/>
        <v>Investeringskost 3</v>
      </c>
      <c r="D127" s="137" t="str">
        <f t="shared" si="94"/>
        <v>Andre investeringskostnader</v>
      </c>
      <c r="E127" s="95">
        <f>+L11</f>
        <v>0</v>
      </c>
      <c r="F127" s="95"/>
      <c r="G127" s="104"/>
      <c r="H127" s="95"/>
      <c r="I127" s="95"/>
      <c r="J127" s="95"/>
      <c r="K127" s="95"/>
      <c r="L127" s="95"/>
      <c r="M127" s="95"/>
      <c r="N127" s="95"/>
      <c r="O127" s="95"/>
      <c r="P127" s="95"/>
      <c r="Q127" s="95"/>
      <c r="R127" s="95"/>
      <c r="S127" s="95"/>
      <c r="T127" s="95"/>
      <c r="U127" s="95"/>
      <c r="V127" s="95"/>
      <c r="W127" s="95"/>
      <c r="X127" s="95"/>
      <c r="Y127" s="95"/>
      <c r="Z127" s="121"/>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2:49">
      <c r="B128" s="2" t="str">
        <f t="shared" si="95"/>
        <v>BMW i3 (22 og 33 kWh)Driftsutgift 1 (per år)</v>
      </c>
      <c r="C128" s="124" t="str">
        <f t="shared" si="94"/>
        <v>Driftsutgift 1 (per år)</v>
      </c>
      <c r="D128" s="137" t="str">
        <f t="shared" si="94"/>
        <v>Forsikring</v>
      </c>
      <c r="E128" s="95"/>
      <c r="F128" s="95">
        <f t="shared" ref="F128:Y128" si="96">IF(F$25&lt;=Levetid,$L14*(1+Justert_prisstigning)^F$25,)</f>
        <v>23318</v>
      </c>
      <c r="G128" s="95">
        <f t="shared" si="96"/>
        <v>23318</v>
      </c>
      <c r="H128" s="95">
        <f t="shared" si="96"/>
        <v>23318</v>
      </c>
      <c r="I128" s="95">
        <f t="shared" si="96"/>
        <v>23318</v>
      </c>
      <c r="J128" s="95">
        <f t="shared" si="96"/>
        <v>23318</v>
      </c>
      <c r="K128" s="95">
        <f t="shared" si="96"/>
        <v>23318</v>
      </c>
      <c r="L128" s="95">
        <f t="shared" si="96"/>
        <v>0</v>
      </c>
      <c r="M128" s="95">
        <f t="shared" si="96"/>
        <v>0</v>
      </c>
      <c r="N128" s="95">
        <f t="shared" si="96"/>
        <v>0</v>
      </c>
      <c r="O128" s="95">
        <f t="shared" si="96"/>
        <v>0</v>
      </c>
      <c r="P128" s="95">
        <f t="shared" si="96"/>
        <v>0</v>
      </c>
      <c r="Q128" s="95">
        <f t="shared" si="96"/>
        <v>0</v>
      </c>
      <c r="R128" s="95">
        <f t="shared" si="96"/>
        <v>0</v>
      </c>
      <c r="S128" s="95">
        <f t="shared" si="96"/>
        <v>0</v>
      </c>
      <c r="T128" s="95">
        <f t="shared" si="96"/>
        <v>0</v>
      </c>
      <c r="U128" s="95">
        <f t="shared" si="96"/>
        <v>0</v>
      </c>
      <c r="V128" s="95">
        <f t="shared" si="96"/>
        <v>0</v>
      </c>
      <c r="W128" s="95">
        <f t="shared" si="96"/>
        <v>0</v>
      </c>
      <c r="X128" s="95">
        <f t="shared" si="96"/>
        <v>0</v>
      </c>
      <c r="Y128" s="95">
        <f t="shared" si="96"/>
        <v>0</v>
      </c>
      <c r="Z128" s="121"/>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2:49">
      <c r="B129" s="2" t="str">
        <f t="shared" si="95"/>
        <v>BMW i3 (22 og 33 kWh)Driftsutgift 2 (per år)</v>
      </c>
      <c r="C129" s="124" t="str">
        <f t="shared" si="94"/>
        <v>Driftsutgift 2 (per år)</v>
      </c>
      <c r="D129" s="137" t="str">
        <f t="shared" si="94"/>
        <v>Reparasjon og vedlikehold</v>
      </c>
      <c r="E129" s="95"/>
      <c r="F129" s="95">
        <f t="shared" ref="F129:Y129" si="97">IF(F$25&lt;=Levetid,$L15*(1+Justert_prisstigning)^F$25,)</f>
        <v>30260</v>
      </c>
      <c r="G129" s="95">
        <f t="shared" si="97"/>
        <v>30260</v>
      </c>
      <c r="H129" s="95">
        <f t="shared" si="97"/>
        <v>30260</v>
      </c>
      <c r="I129" s="95">
        <f t="shared" si="97"/>
        <v>30260</v>
      </c>
      <c r="J129" s="95">
        <f t="shared" si="97"/>
        <v>30260</v>
      </c>
      <c r="K129" s="95">
        <f t="shared" si="97"/>
        <v>30260</v>
      </c>
      <c r="L129" s="95">
        <f t="shared" si="97"/>
        <v>0</v>
      </c>
      <c r="M129" s="95">
        <f t="shared" si="97"/>
        <v>0</v>
      </c>
      <c r="N129" s="95">
        <f t="shared" si="97"/>
        <v>0</v>
      </c>
      <c r="O129" s="95">
        <f t="shared" si="97"/>
        <v>0</v>
      </c>
      <c r="P129" s="95">
        <f t="shared" si="97"/>
        <v>0</v>
      </c>
      <c r="Q129" s="95">
        <f t="shared" si="97"/>
        <v>0</v>
      </c>
      <c r="R129" s="95">
        <f t="shared" si="97"/>
        <v>0</v>
      </c>
      <c r="S129" s="95">
        <f t="shared" si="97"/>
        <v>0</v>
      </c>
      <c r="T129" s="95">
        <f t="shared" si="97"/>
        <v>0</v>
      </c>
      <c r="U129" s="95">
        <f t="shared" si="97"/>
        <v>0</v>
      </c>
      <c r="V129" s="95">
        <f t="shared" si="97"/>
        <v>0</v>
      </c>
      <c r="W129" s="95">
        <f t="shared" si="97"/>
        <v>0</v>
      </c>
      <c r="X129" s="95">
        <f t="shared" si="97"/>
        <v>0</v>
      </c>
      <c r="Y129" s="95">
        <f t="shared" si="97"/>
        <v>0</v>
      </c>
      <c r="Z129" s="121"/>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2:49">
      <c r="B130" s="2" t="str">
        <f t="shared" si="95"/>
        <v>BMW i3 (22 og 33 kWh)Driftsutgift 3 (per år)</v>
      </c>
      <c r="C130" s="124" t="str">
        <f t="shared" si="94"/>
        <v>Driftsutgift 3 (per år)</v>
      </c>
      <c r="D130" s="137" t="str">
        <f t="shared" si="94"/>
        <v>Forbruk (kjørelengde 1 400 mil årlig forbruk fra spekk/test)</v>
      </c>
      <c r="E130" s="95"/>
      <c r="F130" s="95">
        <f t="shared" ref="F130:Y130" si="98">IF(F$25&lt;=Levetid,$L16*(1+Justert_prisstigning)^F$25,)</f>
        <v>8668.7999999999993</v>
      </c>
      <c r="G130" s="95">
        <f t="shared" si="98"/>
        <v>8668.7999999999993</v>
      </c>
      <c r="H130" s="95">
        <f t="shared" si="98"/>
        <v>8668.7999999999993</v>
      </c>
      <c r="I130" s="95">
        <f t="shared" si="98"/>
        <v>8668.7999999999993</v>
      </c>
      <c r="J130" s="95">
        <f t="shared" si="98"/>
        <v>8668.7999999999993</v>
      </c>
      <c r="K130" s="95">
        <f t="shared" si="98"/>
        <v>8668.7999999999993</v>
      </c>
      <c r="L130" s="95">
        <f t="shared" si="98"/>
        <v>0</v>
      </c>
      <c r="M130" s="95">
        <f t="shared" si="98"/>
        <v>0</v>
      </c>
      <c r="N130" s="95">
        <f t="shared" si="98"/>
        <v>0</v>
      </c>
      <c r="O130" s="95">
        <f t="shared" si="98"/>
        <v>0</v>
      </c>
      <c r="P130" s="95">
        <f t="shared" si="98"/>
        <v>0</v>
      </c>
      <c r="Q130" s="95">
        <f t="shared" si="98"/>
        <v>0</v>
      </c>
      <c r="R130" s="95">
        <f t="shared" si="98"/>
        <v>0</v>
      </c>
      <c r="S130" s="95">
        <f t="shared" si="98"/>
        <v>0</v>
      </c>
      <c r="T130" s="95">
        <f t="shared" si="98"/>
        <v>0</v>
      </c>
      <c r="U130" s="95">
        <f t="shared" si="98"/>
        <v>0</v>
      </c>
      <c r="V130" s="95">
        <f t="shared" si="98"/>
        <v>0</v>
      </c>
      <c r="W130" s="95">
        <f t="shared" si="98"/>
        <v>0</v>
      </c>
      <c r="X130" s="95">
        <f t="shared" si="98"/>
        <v>0</v>
      </c>
      <c r="Y130" s="95">
        <f t="shared" si="98"/>
        <v>0</v>
      </c>
      <c r="Z130" s="121"/>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2:49">
      <c r="B131" s="2" t="str">
        <f t="shared" si="95"/>
        <v>BMW i3 (22 og 33 kWh)Driftsutgift 4 (per år)</v>
      </c>
      <c r="C131" s="124" t="str">
        <f t="shared" si="94"/>
        <v>Driftsutgift 4 (per år)</v>
      </c>
      <c r="D131" s="137" t="str">
        <f t="shared" si="94"/>
        <v>Årsavgift</v>
      </c>
      <c r="E131" s="95"/>
      <c r="F131" s="95">
        <f t="shared" ref="F131:Y131" si="99">IF(F$25&lt;=Levetid,$L17*(1+Justert_prisstigning)^F$25,)</f>
        <v>2275</v>
      </c>
      <c r="G131" s="95">
        <f t="shared" si="99"/>
        <v>2275</v>
      </c>
      <c r="H131" s="95">
        <f t="shared" si="99"/>
        <v>2275</v>
      </c>
      <c r="I131" s="95">
        <f t="shared" si="99"/>
        <v>2275</v>
      </c>
      <c r="J131" s="95">
        <f t="shared" si="99"/>
        <v>2275</v>
      </c>
      <c r="K131" s="95">
        <f t="shared" si="99"/>
        <v>2275</v>
      </c>
      <c r="L131" s="95">
        <f t="shared" si="99"/>
        <v>0</v>
      </c>
      <c r="M131" s="95">
        <f t="shared" si="99"/>
        <v>0</v>
      </c>
      <c r="N131" s="95">
        <f t="shared" si="99"/>
        <v>0</v>
      </c>
      <c r="O131" s="95">
        <f t="shared" si="99"/>
        <v>0</v>
      </c>
      <c r="P131" s="95">
        <f t="shared" si="99"/>
        <v>0</v>
      </c>
      <c r="Q131" s="95">
        <f t="shared" si="99"/>
        <v>0</v>
      </c>
      <c r="R131" s="95">
        <f t="shared" si="99"/>
        <v>0</v>
      </c>
      <c r="S131" s="95">
        <f t="shared" si="99"/>
        <v>0</v>
      </c>
      <c r="T131" s="95">
        <f t="shared" si="99"/>
        <v>0</v>
      </c>
      <c r="U131" s="95">
        <f t="shared" si="99"/>
        <v>0</v>
      </c>
      <c r="V131" s="95">
        <f t="shared" si="99"/>
        <v>0</v>
      </c>
      <c r="W131" s="95">
        <f t="shared" si="99"/>
        <v>0</v>
      </c>
      <c r="X131" s="95">
        <f t="shared" si="99"/>
        <v>0</v>
      </c>
      <c r="Y131" s="95">
        <f t="shared" si="99"/>
        <v>0</v>
      </c>
      <c r="Z131" s="121"/>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2:49">
      <c r="B132" s="2" t="str">
        <f t="shared" si="95"/>
        <v>BMW i3 (22 og 33 kWh)Driftsutgift 5 (per år)</v>
      </c>
      <c r="C132" s="124" t="str">
        <f t="shared" si="94"/>
        <v>Driftsutgift 5 (per år)</v>
      </c>
      <c r="D132" s="137" t="str">
        <f t="shared" si="94"/>
        <v>Andre driftskostnader</v>
      </c>
      <c r="E132" s="95"/>
      <c r="F132" s="95">
        <f t="shared" ref="F132:Y132" si="100">IF(F$25&lt;=Levetid,$L18*(1+Justert_prisstigning)^F$25,)</f>
        <v>0</v>
      </c>
      <c r="G132" s="95">
        <f t="shared" si="100"/>
        <v>0</v>
      </c>
      <c r="H132" s="95">
        <f t="shared" si="100"/>
        <v>0</v>
      </c>
      <c r="I132" s="95">
        <f t="shared" si="100"/>
        <v>0</v>
      </c>
      <c r="J132" s="95">
        <f t="shared" si="100"/>
        <v>0</v>
      </c>
      <c r="K132" s="95">
        <f t="shared" si="100"/>
        <v>0</v>
      </c>
      <c r="L132" s="95">
        <f t="shared" si="100"/>
        <v>0</v>
      </c>
      <c r="M132" s="95">
        <f t="shared" si="100"/>
        <v>0</v>
      </c>
      <c r="N132" s="95">
        <f t="shared" si="100"/>
        <v>0</v>
      </c>
      <c r="O132" s="95">
        <f t="shared" si="100"/>
        <v>0</v>
      </c>
      <c r="P132" s="95">
        <f t="shared" si="100"/>
        <v>0</v>
      </c>
      <c r="Q132" s="95">
        <f t="shared" si="100"/>
        <v>0</v>
      </c>
      <c r="R132" s="95">
        <f t="shared" si="100"/>
        <v>0</v>
      </c>
      <c r="S132" s="95">
        <f t="shared" si="100"/>
        <v>0</v>
      </c>
      <c r="T132" s="95">
        <f t="shared" si="100"/>
        <v>0</v>
      </c>
      <c r="U132" s="95">
        <f t="shared" si="100"/>
        <v>0</v>
      </c>
      <c r="V132" s="95">
        <f t="shared" si="100"/>
        <v>0</v>
      </c>
      <c r="W132" s="95">
        <f t="shared" si="100"/>
        <v>0</v>
      </c>
      <c r="X132" s="95">
        <f t="shared" si="100"/>
        <v>0</v>
      </c>
      <c r="Y132" s="95">
        <f t="shared" si="100"/>
        <v>0</v>
      </c>
      <c r="Z132" s="121"/>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2:49">
      <c r="B133" s="2" t="str">
        <f t="shared" si="95"/>
        <v>BMW i3 (22 og 33 kWh)Avhendingskostnader/restverdier</v>
      </c>
      <c r="C133" s="124" t="str">
        <f>+C21</f>
        <v>Avhendingskostnader/restverdier</v>
      </c>
      <c r="D133" s="137" t="str">
        <f>+D21</f>
        <v>Avhendingsutgifter - salgsinntekter</v>
      </c>
      <c r="E133" s="95">
        <f t="shared" ref="E133:Y133" si="101">IF(Levetid=E25,$L$21*(1+Justert_prisstigning)^E25,)</f>
        <v>0</v>
      </c>
      <c r="F133" s="95">
        <f t="shared" si="101"/>
        <v>0</v>
      </c>
      <c r="G133" s="95">
        <f t="shared" si="101"/>
        <v>0</v>
      </c>
      <c r="H133" s="95">
        <f t="shared" si="101"/>
        <v>0</v>
      </c>
      <c r="I133" s="95">
        <f t="shared" si="101"/>
        <v>0</v>
      </c>
      <c r="J133" s="95">
        <f t="shared" si="101"/>
        <v>0</v>
      </c>
      <c r="K133" s="95">
        <f t="shared" si="101"/>
        <v>-296666.66666666669</v>
      </c>
      <c r="L133" s="95">
        <f t="shared" si="101"/>
        <v>0</v>
      </c>
      <c r="M133" s="95">
        <f t="shared" si="101"/>
        <v>0</v>
      </c>
      <c r="N133" s="95">
        <f t="shared" si="101"/>
        <v>0</v>
      </c>
      <c r="O133" s="95">
        <f t="shared" si="101"/>
        <v>0</v>
      </c>
      <c r="P133" s="95">
        <f t="shared" si="101"/>
        <v>0</v>
      </c>
      <c r="Q133" s="95">
        <f t="shared" si="101"/>
        <v>0</v>
      </c>
      <c r="R133" s="95">
        <f t="shared" si="101"/>
        <v>0</v>
      </c>
      <c r="S133" s="95">
        <f t="shared" si="101"/>
        <v>0</v>
      </c>
      <c r="T133" s="95">
        <f t="shared" si="101"/>
        <v>0</v>
      </c>
      <c r="U133" s="95">
        <f t="shared" si="101"/>
        <v>0</v>
      </c>
      <c r="V133" s="95">
        <f t="shared" si="101"/>
        <v>0</v>
      </c>
      <c r="W133" s="95">
        <f t="shared" si="101"/>
        <v>0</v>
      </c>
      <c r="X133" s="95">
        <f t="shared" si="101"/>
        <v>0</v>
      </c>
      <c r="Y133" s="95">
        <f t="shared" si="101"/>
        <v>0</v>
      </c>
      <c r="Z133" s="121"/>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2:49" ht="13.35" customHeight="1">
      <c r="C134" s="124"/>
      <c r="D134" s="137" t="s">
        <v>29</v>
      </c>
      <c r="E134" s="95">
        <f>SUM(E125:E133)</f>
        <v>1780000</v>
      </c>
      <c r="F134" s="95">
        <f t="shared" ref="F134:Y134" si="102">SUM(F125:F133)</f>
        <v>64521.8</v>
      </c>
      <c r="G134" s="95">
        <f t="shared" si="102"/>
        <v>64521.8</v>
      </c>
      <c r="H134" s="95">
        <f t="shared" si="102"/>
        <v>64521.8</v>
      </c>
      <c r="I134" s="95">
        <f t="shared" si="102"/>
        <v>64521.8</v>
      </c>
      <c r="J134" s="95">
        <f t="shared" si="102"/>
        <v>64521.8</v>
      </c>
      <c r="K134" s="95">
        <f t="shared" si="102"/>
        <v>-232144.8666666667</v>
      </c>
      <c r="L134" s="95">
        <f t="shared" si="102"/>
        <v>0</v>
      </c>
      <c r="M134" s="95">
        <f t="shared" si="102"/>
        <v>0</v>
      </c>
      <c r="N134" s="95">
        <f t="shared" si="102"/>
        <v>0</v>
      </c>
      <c r="O134" s="95">
        <f t="shared" si="102"/>
        <v>0</v>
      </c>
      <c r="P134" s="95">
        <f t="shared" si="102"/>
        <v>0</v>
      </c>
      <c r="Q134" s="95">
        <f t="shared" si="102"/>
        <v>0</v>
      </c>
      <c r="R134" s="95">
        <f t="shared" si="102"/>
        <v>0</v>
      </c>
      <c r="S134" s="95">
        <f t="shared" si="102"/>
        <v>0</v>
      </c>
      <c r="T134" s="95">
        <f t="shared" si="102"/>
        <v>0</v>
      </c>
      <c r="U134" s="95">
        <f t="shared" si="102"/>
        <v>0</v>
      </c>
      <c r="V134" s="95">
        <f t="shared" si="102"/>
        <v>0</v>
      </c>
      <c r="W134" s="95">
        <f t="shared" si="102"/>
        <v>0</v>
      </c>
      <c r="X134" s="95">
        <f t="shared" si="102"/>
        <v>0</v>
      </c>
      <c r="Y134" s="95">
        <f t="shared" si="102"/>
        <v>0</v>
      </c>
      <c r="Z134" s="121"/>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2:49">
      <c r="C135" s="124"/>
      <c r="D135" s="137" t="s">
        <v>21</v>
      </c>
      <c r="E135" s="95">
        <f>+E134*E23</f>
        <v>1780000</v>
      </c>
      <c r="F135" s="95">
        <f>+F134*F23</f>
        <v>62040.192307692305</v>
      </c>
      <c r="G135" s="95">
        <f>+G134*G23</f>
        <v>59654.031065088755</v>
      </c>
      <c r="H135" s="95">
        <f t="shared" ref="H135:Y135" si="103">+H134*H23</f>
        <v>57359.645254893039</v>
      </c>
      <c r="I135" s="95">
        <f t="shared" si="103"/>
        <v>55153.505052781758</v>
      </c>
      <c r="J135" s="95">
        <f t="shared" si="103"/>
        <v>53032.216396905533</v>
      </c>
      <c r="K135" s="95">
        <f t="shared" si="103"/>
        <v>-183467.4602003546</v>
      </c>
      <c r="L135" s="95">
        <f t="shared" si="103"/>
        <v>0</v>
      </c>
      <c r="M135" s="95">
        <f t="shared" si="103"/>
        <v>0</v>
      </c>
      <c r="N135" s="95">
        <f t="shared" si="103"/>
        <v>0</v>
      </c>
      <c r="O135" s="95">
        <f t="shared" si="103"/>
        <v>0</v>
      </c>
      <c r="P135" s="95">
        <f t="shared" si="103"/>
        <v>0</v>
      </c>
      <c r="Q135" s="95">
        <f t="shared" si="103"/>
        <v>0</v>
      </c>
      <c r="R135" s="95">
        <f t="shared" si="103"/>
        <v>0</v>
      </c>
      <c r="S135" s="95">
        <f t="shared" si="103"/>
        <v>0</v>
      </c>
      <c r="T135" s="95">
        <f t="shared" si="103"/>
        <v>0</v>
      </c>
      <c r="U135" s="95">
        <f t="shared" si="103"/>
        <v>0</v>
      </c>
      <c r="V135" s="95">
        <f t="shared" si="103"/>
        <v>0</v>
      </c>
      <c r="W135" s="95">
        <f t="shared" si="103"/>
        <v>0</v>
      </c>
      <c r="X135" s="95">
        <f t="shared" si="103"/>
        <v>0</v>
      </c>
      <c r="Y135" s="95">
        <f t="shared" si="103"/>
        <v>0</v>
      </c>
      <c r="Z135" s="121">
        <f>SUM(E135:Y135)</f>
        <v>1883772.1298770064</v>
      </c>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2:49">
      <c r="C136" s="124"/>
      <c r="D136" s="95" t="s">
        <v>159</v>
      </c>
      <c r="E136" s="95">
        <f t="shared" ref="E136:Y136" si="104">+E133*E$23</f>
        <v>0</v>
      </c>
      <c r="F136" s="95">
        <f t="shared" si="104"/>
        <v>0</v>
      </c>
      <c r="G136" s="95">
        <f t="shared" si="104"/>
        <v>0</v>
      </c>
      <c r="H136" s="95">
        <f t="shared" si="104"/>
        <v>0</v>
      </c>
      <c r="I136" s="95">
        <f t="shared" si="104"/>
        <v>0</v>
      </c>
      <c r="J136" s="95">
        <f>+J133*J$23</f>
        <v>0</v>
      </c>
      <c r="K136" s="95">
        <f t="shared" si="104"/>
        <v>-234459.9759666099</v>
      </c>
      <c r="L136" s="95">
        <f t="shared" si="104"/>
        <v>0</v>
      </c>
      <c r="M136" s="95">
        <f t="shared" si="104"/>
        <v>0</v>
      </c>
      <c r="N136" s="95">
        <f t="shared" si="104"/>
        <v>0</v>
      </c>
      <c r="O136" s="95">
        <f t="shared" si="104"/>
        <v>0</v>
      </c>
      <c r="P136" s="95">
        <f t="shared" si="104"/>
        <v>0</v>
      </c>
      <c r="Q136" s="95">
        <f t="shared" si="104"/>
        <v>0</v>
      </c>
      <c r="R136" s="95">
        <f t="shared" si="104"/>
        <v>0</v>
      </c>
      <c r="S136" s="95">
        <f t="shared" si="104"/>
        <v>0</v>
      </c>
      <c r="T136" s="95">
        <f t="shared" si="104"/>
        <v>0</v>
      </c>
      <c r="U136" s="95">
        <f t="shared" si="104"/>
        <v>0</v>
      </c>
      <c r="V136" s="95">
        <f t="shared" si="104"/>
        <v>0</v>
      </c>
      <c r="W136" s="95">
        <f t="shared" si="104"/>
        <v>0</v>
      </c>
      <c r="X136" s="95">
        <f t="shared" si="104"/>
        <v>0</v>
      </c>
      <c r="Y136" s="95">
        <f t="shared" si="104"/>
        <v>0</v>
      </c>
      <c r="Z136" s="121"/>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2:49">
      <c r="C137" s="143"/>
      <c r="D137" s="144" t="s">
        <v>27</v>
      </c>
      <c r="E137" s="135">
        <f>+E135-E32</f>
        <v>0</v>
      </c>
      <c r="F137" s="135">
        <f t="shared" ref="F137:Z137" si="105">+F135-F32</f>
        <v>0</v>
      </c>
      <c r="G137" s="135">
        <f t="shared" si="105"/>
        <v>0</v>
      </c>
      <c r="H137" s="135">
        <f t="shared" si="105"/>
        <v>0</v>
      </c>
      <c r="I137" s="135">
        <f t="shared" si="105"/>
        <v>0</v>
      </c>
      <c r="J137" s="135">
        <f t="shared" si="105"/>
        <v>0</v>
      </c>
      <c r="K137" s="135">
        <f t="shared" si="105"/>
        <v>0</v>
      </c>
      <c r="L137" s="135">
        <f t="shared" si="105"/>
        <v>0</v>
      </c>
      <c r="M137" s="135">
        <f t="shared" si="105"/>
        <v>0</v>
      </c>
      <c r="N137" s="135">
        <f t="shared" si="105"/>
        <v>0</v>
      </c>
      <c r="O137" s="135">
        <f t="shared" si="105"/>
        <v>0</v>
      </c>
      <c r="P137" s="135">
        <f t="shared" si="105"/>
        <v>0</v>
      </c>
      <c r="Q137" s="135">
        <f t="shared" si="105"/>
        <v>0</v>
      </c>
      <c r="R137" s="135">
        <f t="shared" si="105"/>
        <v>0</v>
      </c>
      <c r="S137" s="135">
        <f t="shared" si="105"/>
        <v>0</v>
      </c>
      <c r="T137" s="135">
        <f t="shared" si="105"/>
        <v>0</v>
      </c>
      <c r="U137" s="135">
        <f t="shared" si="105"/>
        <v>0</v>
      </c>
      <c r="V137" s="135">
        <f t="shared" si="105"/>
        <v>0</v>
      </c>
      <c r="W137" s="135">
        <f t="shared" si="105"/>
        <v>0</v>
      </c>
      <c r="X137" s="135">
        <f t="shared" si="105"/>
        <v>0</v>
      </c>
      <c r="Y137" s="135">
        <f t="shared" si="105"/>
        <v>0</v>
      </c>
      <c r="Z137" s="145">
        <f t="shared" si="105"/>
        <v>0</v>
      </c>
      <c r="AB137" s="3"/>
      <c r="AC137" s="3"/>
      <c r="AD137" s="3"/>
      <c r="AE137" s="3"/>
      <c r="AF137" s="3"/>
      <c r="AG137" s="3"/>
      <c r="AH137" s="3"/>
      <c r="AI137" s="3"/>
      <c r="AJ137" s="3"/>
      <c r="AK137" s="3"/>
      <c r="AL137" s="3"/>
      <c r="AM137" s="3"/>
      <c r="AN137" s="3"/>
      <c r="AO137" s="3"/>
      <c r="AP137" s="3"/>
      <c r="AQ137" s="3"/>
      <c r="AR137" s="3"/>
      <c r="AS137" s="3"/>
      <c r="AT137" s="3"/>
      <c r="AU137" s="3"/>
      <c r="AV137" s="3"/>
      <c r="AW137" s="3"/>
    </row>
    <row r="139" spans="2:49">
      <c r="C139" s="91" t="str">
        <f>+M7</f>
        <v>&lt;Fyll inn navn på firma her&gt;</v>
      </c>
      <c r="D139" s="92" t="s">
        <v>194</v>
      </c>
      <c r="E139" s="150">
        <v>0</v>
      </c>
      <c r="F139" s="150">
        <v>1</v>
      </c>
      <c r="G139" s="150">
        <v>2</v>
      </c>
      <c r="H139" s="150">
        <v>3</v>
      </c>
      <c r="I139" s="150">
        <v>4</v>
      </c>
      <c r="J139" s="150">
        <v>5</v>
      </c>
      <c r="K139" s="150">
        <v>6</v>
      </c>
      <c r="L139" s="150">
        <v>7</v>
      </c>
      <c r="M139" s="150">
        <v>8</v>
      </c>
      <c r="N139" s="150">
        <v>9</v>
      </c>
      <c r="O139" s="150">
        <v>10</v>
      </c>
      <c r="P139" s="150">
        <v>11</v>
      </c>
      <c r="Q139" s="150">
        <v>12</v>
      </c>
      <c r="R139" s="150">
        <v>13</v>
      </c>
      <c r="S139" s="150">
        <v>14</v>
      </c>
      <c r="T139" s="150">
        <v>15</v>
      </c>
      <c r="U139" s="150">
        <v>16</v>
      </c>
      <c r="V139" s="150">
        <v>17</v>
      </c>
      <c r="W139" s="150">
        <v>18</v>
      </c>
      <c r="X139" s="150">
        <v>19</v>
      </c>
      <c r="Y139" s="150">
        <v>20</v>
      </c>
      <c r="Z139" s="151"/>
    </row>
    <row r="140" spans="2:49">
      <c r="B140" s="61" t="str">
        <f>CONCATENATE($C$139,C140)</f>
        <v>&lt;Fyll inn navn på firma her&gt;Investeringskost 1</v>
      </c>
      <c r="C140" s="148" t="str">
        <f>+C37</f>
        <v>Investeringskost 1</v>
      </c>
      <c r="D140" s="149" t="str">
        <f>+D37</f>
        <v>Bil med sommer og vinterdekk</v>
      </c>
      <c r="E140" s="130">
        <f>+M9</f>
        <v>0</v>
      </c>
      <c r="F140" s="130"/>
      <c r="G140" s="150"/>
      <c r="H140" s="130"/>
      <c r="I140" s="130"/>
      <c r="J140" s="130"/>
      <c r="K140" s="130"/>
      <c r="L140" s="130"/>
      <c r="M140" s="130"/>
      <c r="N140" s="130"/>
      <c r="O140" s="130"/>
      <c r="P140" s="130"/>
      <c r="Q140" s="130"/>
      <c r="R140" s="130"/>
      <c r="S140" s="130"/>
      <c r="T140" s="130"/>
      <c r="U140" s="130"/>
      <c r="V140" s="130"/>
      <c r="W140" s="130"/>
      <c r="X140" s="130"/>
      <c r="Y140" s="130"/>
      <c r="Z140" s="151"/>
    </row>
    <row r="141" spans="2:49">
      <c r="B141" s="61" t="str">
        <f t="shared" ref="B141:B147" si="106">CONCATENATE($C$139,C141)</f>
        <v>&lt;Fyll inn navn på firma her&gt;Investeringskost 2</v>
      </c>
      <c r="C141" s="152" t="str">
        <f t="shared" ref="C141:D148" si="107">+C38</f>
        <v>Investeringskost 2</v>
      </c>
      <c r="D141" s="153" t="str">
        <f t="shared" si="107"/>
        <v>Ekstrautstyr: automatgir og ryggesensor</v>
      </c>
      <c r="E141" s="95">
        <f>+M10</f>
        <v>0</v>
      </c>
      <c r="F141" s="95"/>
      <c r="G141" s="104"/>
      <c r="H141" s="95"/>
      <c r="I141" s="95"/>
      <c r="J141" s="95"/>
      <c r="K141" s="95"/>
      <c r="L141" s="95"/>
      <c r="M141" s="95"/>
      <c r="N141" s="95"/>
      <c r="O141" s="95"/>
      <c r="P141" s="95"/>
      <c r="Q141" s="95"/>
      <c r="R141" s="95"/>
      <c r="S141" s="95"/>
      <c r="T141" s="95"/>
      <c r="U141" s="95"/>
      <c r="V141" s="95"/>
      <c r="W141" s="95"/>
      <c r="X141" s="95"/>
      <c r="Y141" s="95"/>
      <c r="Z141" s="121"/>
    </row>
    <row r="142" spans="2:49">
      <c r="B142" s="61" t="str">
        <f t="shared" si="106"/>
        <v>&lt;Fyll inn navn på firma her&gt;Investeringskost 3</v>
      </c>
      <c r="C142" s="152" t="str">
        <f t="shared" si="107"/>
        <v>Investeringskost 3</v>
      </c>
      <c r="D142" s="153" t="str">
        <f t="shared" si="107"/>
        <v>Andre investeringskostnader</v>
      </c>
      <c r="E142" s="95">
        <f>+M11</f>
        <v>0</v>
      </c>
      <c r="F142" s="95"/>
      <c r="G142" s="104"/>
      <c r="H142" s="95"/>
      <c r="I142" s="95"/>
      <c r="J142" s="95"/>
      <c r="K142" s="95"/>
      <c r="L142" s="95"/>
      <c r="M142" s="95"/>
      <c r="N142" s="95"/>
      <c r="O142" s="95"/>
      <c r="P142" s="95"/>
      <c r="Q142" s="95"/>
      <c r="R142" s="95"/>
      <c r="S142" s="95"/>
      <c r="T142" s="95"/>
      <c r="U142" s="95"/>
      <c r="V142" s="95"/>
      <c r="W142" s="95"/>
      <c r="X142" s="95"/>
      <c r="Y142" s="95"/>
      <c r="Z142" s="121"/>
    </row>
    <row r="143" spans="2:49">
      <c r="B143" s="61" t="str">
        <f t="shared" si="106"/>
        <v>&lt;Fyll inn navn på firma her&gt;Driftsutgift 1 (per år)</v>
      </c>
      <c r="C143" s="152" t="str">
        <f t="shared" si="107"/>
        <v>Driftsutgift 1 (per år)</v>
      </c>
      <c r="D143" s="153" t="str">
        <f t="shared" si="107"/>
        <v>Forsikring</v>
      </c>
      <c r="E143" s="95"/>
      <c r="F143" s="95">
        <f t="shared" ref="F143:Y143" si="108">IF(F$25&lt;=Levetid,$M14*(1+Justert_prisstigning)^F$25,)</f>
        <v>0</v>
      </c>
      <c r="G143" s="95">
        <f t="shared" si="108"/>
        <v>0</v>
      </c>
      <c r="H143" s="95">
        <f t="shared" si="108"/>
        <v>0</v>
      </c>
      <c r="I143" s="95">
        <f t="shared" si="108"/>
        <v>0</v>
      </c>
      <c r="J143" s="95">
        <f t="shared" si="108"/>
        <v>0</v>
      </c>
      <c r="K143" s="95">
        <f t="shared" si="108"/>
        <v>0</v>
      </c>
      <c r="L143" s="95">
        <f t="shared" si="108"/>
        <v>0</v>
      </c>
      <c r="M143" s="95">
        <f t="shared" si="108"/>
        <v>0</v>
      </c>
      <c r="N143" s="95">
        <f t="shared" si="108"/>
        <v>0</v>
      </c>
      <c r="O143" s="95">
        <f t="shared" si="108"/>
        <v>0</v>
      </c>
      <c r="P143" s="95">
        <f t="shared" si="108"/>
        <v>0</v>
      </c>
      <c r="Q143" s="95">
        <f t="shared" si="108"/>
        <v>0</v>
      </c>
      <c r="R143" s="95">
        <f t="shared" si="108"/>
        <v>0</v>
      </c>
      <c r="S143" s="95">
        <f t="shared" si="108"/>
        <v>0</v>
      </c>
      <c r="T143" s="95">
        <f t="shared" si="108"/>
        <v>0</v>
      </c>
      <c r="U143" s="95">
        <f t="shared" si="108"/>
        <v>0</v>
      </c>
      <c r="V143" s="95">
        <f t="shared" si="108"/>
        <v>0</v>
      </c>
      <c r="W143" s="95">
        <f t="shared" si="108"/>
        <v>0</v>
      </c>
      <c r="X143" s="95">
        <f t="shared" si="108"/>
        <v>0</v>
      </c>
      <c r="Y143" s="95">
        <f t="shared" si="108"/>
        <v>0</v>
      </c>
      <c r="Z143" s="121"/>
    </row>
    <row r="144" spans="2:49">
      <c r="B144" s="61" t="str">
        <f t="shared" si="106"/>
        <v>&lt;Fyll inn navn på firma her&gt;Driftsutgift 2 (per år)</v>
      </c>
      <c r="C144" s="152" t="str">
        <f t="shared" si="107"/>
        <v>Driftsutgift 2 (per år)</v>
      </c>
      <c r="D144" s="153" t="str">
        <f t="shared" si="107"/>
        <v>Reparasjon og vedlikehold</v>
      </c>
      <c r="E144" s="95"/>
      <c r="F144" s="95">
        <f t="shared" ref="F144:Y144" si="109">IF(F$25&lt;=Levetid,$M15*(1+Justert_prisstigning)^F$25,)</f>
        <v>0</v>
      </c>
      <c r="G144" s="95">
        <f t="shared" si="109"/>
        <v>0</v>
      </c>
      <c r="H144" s="95">
        <f t="shared" si="109"/>
        <v>0</v>
      </c>
      <c r="I144" s="95">
        <f t="shared" si="109"/>
        <v>0</v>
      </c>
      <c r="J144" s="95">
        <f t="shared" si="109"/>
        <v>0</v>
      </c>
      <c r="K144" s="95">
        <f t="shared" si="109"/>
        <v>0</v>
      </c>
      <c r="L144" s="95">
        <f t="shared" si="109"/>
        <v>0</v>
      </c>
      <c r="M144" s="95">
        <f t="shared" si="109"/>
        <v>0</v>
      </c>
      <c r="N144" s="95">
        <f t="shared" si="109"/>
        <v>0</v>
      </c>
      <c r="O144" s="95">
        <f t="shared" si="109"/>
        <v>0</v>
      </c>
      <c r="P144" s="95">
        <f t="shared" si="109"/>
        <v>0</v>
      </c>
      <c r="Q144" s="95">
        <f t="shared" si="109"/>
        <v>0</v>
      </c>
      <c r="R144" s="95">
        <f t="shared" si="109"/>
        <v>0</v>
      </c>
      <c r="S144" s="95">
        <f t="shared" si="109"/>
        <v>0</v>
      </c>
      <c r="T144" s="95">
        <f t="shared" si="109"/>
        <v>0</v>
      </c>
      <c r="U144" s="95">
        <f t="shared" si="109"/>
        <v>0</v>
      </c>
      <c r="V144" s="95">
        <f t="shared" si="109"/>
        <v>0</v>
      </c>
      <c r="W144" s="95">
        <f t="shared" si="109"/>
        <v>0</v>
      </c>
      <c r="X144" s="95">
        <f t="shared" si="109"/>
        <v>0</v>
      </c>
      <c r="Y144" s="95">
        <f t="shared" si="109"/>
        <v>0</v>
      </c>
      <c r="Z144" s="121"/>
    </row>
    <row r="145" spans="2:26">
      <c r="B145" s="61" t="str">
        <f t="shared" si="106"/>
        <v>&lt;Fyll inn navn på firma her&gt;Driftsutgift 3 (per år)</v>
      </c>
      <c r="C145" s="152" t="str">
        <f t="shared" si="107"/>
        <v>Driftsutgift 3 (per år)</v>
      </c>
      <c r="D145" s="153" t="str">
        <f t="shared" si="107"/>
        <v>Forbruk (kjørelengde 1 400 mil årlig forbruk fra spekk/test)</v>
      </c>
      <c r="E145" s="95"/>
      <c r="F145" s="95">
        <f t="shared" ref="F145:Y145" si="110">IF(F$25&lt;=Levetid,$M16*(1+Justert_prisstigning)^F$25,)</f>
        <v>0</v>
      </c>
      <c r="G145" s="95">
        <f t="shared" si="110"/>
        <v>0</v>
      </c>
      <c r="H145" s="95">
        <f t="shared" si="110"/>
        <v>0</v>
      </c>
      <c r="I145" s="95">
        <f t="shared" si="110"/>
        <v>0</v>
      </c>
      <c r="J145" s="95">
        <f t="shared" si="110"/>
        <v>0</v>
      </c>
      <c r="K145" s="95">
        <f t="shared" si="110"/>
        <v>0</v>
      </c>
      <c r="L145" s="95">
        <f t="shared" si="110"/>
        <v>0</v>
      </c>
      <c r="M145" s="95">
        <f t="shared" si="110"/>
        <v>0</v>
      </c>
      <c r="N145" s="95">
        <f t="shared" si="110"/>
        <v>0</v>
      </c>
      <c r="O145" s="95">
        <f t="shared" si="110"/>
        <v>0</v>
      </c>
      <c r="P145" s="95">
        <f t="shared" si="110"/>
        <v>0</v>
      </c>
      <c r="Q145" s="95">
        <f t="shared" si="110"/>
        <v>0</v>
      </c>
      <c r="R145" s="95">
        <f t="shared" si="110"/>
        <v>0</v>
      </c>
      <c r="S145" s="95">
        <f t="shared" si="110"/>
        <v>0</v>
      </c>
      <c r="T145" s="95">
        <f t="shared" si="110"/>
        <v>0</v>
      </c>
      <c r="U145" s="95">
        <f t="shared" si="110"/>
        <v>0</v>
      </c>
      <c r="V145" s="95">
        <f t="shared" si="110"/>
        <v>0</v>
      </c>
      <c r="W145" s="95">
        <f t="shared" si="110"/>
        <v>0</v>
      </c>
      <c r="X145" s="95">
        <f t="shared" si="110"/>
        <v>0</v>
      </c>
      <c r="Y145" s="95">
        <f t="shared" si="110"/>
        <v>0</v>
      </c>
      <c r="Z145" s="121"/>
    </row>
    <row r="146" spans="2:26">
      <c r="B146" s="61" t="str">
        <f t="shared" si="106"/>
        <v>&lt;Fyll inn navn på firma her&gt;Driftsutgift 4 (per år)</v>
      </c>
      <c r="C146" s="152" t="str">
        <f t="shared" si="107"/>
        <v>Driftsutgift 4 (per år)</v>
      </c>
      <c r="D146" s="153" t="str">
        <f t="shared" si="107"/>
        <v>Årsavgift</v>
      </c>
      <c r="E146" s="95"/>
      <c r="F146" s="95">
        <f t="shared" ref="F146:Y146" si="111">IF(F$25&lt;=Levetid,$M17*(1+Justert_prisstigning)^F$25,)</f>
        <v>0</v>
      </c>
      <c r="G146" s="95">
        <f t="shared" si="111"/>
        <v>0</v>
      </c>
      <c r="H146" s="95">
        <f t="shared" si="111"/>
        <v>0</v>
      </c>
      <c r="I146" s="95">
        <f t="shared" si="111"/>
        <v>0</v>
      </c>
      <c r="J146" s="95">
        <f t="shared" si="111"/>
        <v>0</v>
      </c>
      <c r="K146" s="95">
        <f t="shared" si="111"/>
        <v>0</v>
      </c>
      <c r="L146" s="95">
        <f t="shared" si="111"/>
        <v>0</v>
      </c>
      <c r="M146" s="95">
        <f t="shared" si="111"/>
        <v>0</v>
      </c>
      <c r="N146" s="95">
        <f t="shared" si="111"/>
        <v>0</v>
      </c>
      <c r="O146" s="95">
        <f t="shared" si="111"/>
        <v>0</v>
      </c>
      <c r="P146" s="95">
        <f t="shared" si="111"/>
        <v>0</v>
      </c>
      <c r="Q146" s="95">
        <f t="shared" si="111"/>
        <v>0</v>
      </c>
      <c r="R146" s="95">
        <f t="shared" si="111"/>
        <v>0</v>
      </c>
      <c r="S146" s="95">
        <f t="shared" si="111"/>
        <v>0</v>
      </c>
      <c r="T146" s="95">
        <f t="shared" si="111"/>
        <v>0</v>
      </c>
      <c r="U146" s="95">
        <f t="shared" si="111"/>
        <v>0</v>
      </c>
      <c r="V146" s="95">
        <f t="shared" si="111"/>
        <v>0</v>
      </c>
      <c r="W146" s="95">
        <f t="shared" si="111"/>
        <v>0</v>
      </c>
      <c r="X146" s="95">
        <f t="shared" si="111"/>
        <v>0</v>
      </c>
      <c r="Y146" s="95">
        <f t="shared" si="111"/>
        <v>0</v>
      </c>
      <c r="Z146" s="121"/>
    </row>
    <row r="147" spans="2:26">
      <c r="B147" s="61" t="str">
        <f t="shared" si="106"/>
        <v>&lt;Fyll inn navn på firma her&gt;Driftsutgift 5 (per år)</v>
      </c>
      <c r="C147" s="152" t="str">
        <f t="shared" si="107"/>
        <v>Driftsutgift 5 (per år)</v>
      </c>
      <c r="D147" s="153" t="str">
        <f t="shared" si="107"/>
        <v>Andre driftskostnader</v>
      </c>
      <c r="E147" s="95"/>
      <c r="F147" s="95">
        <f t="shared" ref="F147:Y147" si="112">IF(F$25&lt;=Levetid,$M18*(1+Justert_prisstigning)^F$25,)</f>
        <v>0</v>
      </c>
      <c r="G147" s="95">
        <f t="shared" si="112"/>
        <v>0</v>
      </c>
      <c r="H147" s="95">
        <f t="shared" si="112"/>
        <v>0</v>
      </c>
      <c r="I147" s="95">
        <f t="shared" si="112"/>
        <v>0</v>
      </c>
      <c r="J147" s="95">
        <f t="shared" si="112"/>
        <v>0</v>
      </c>
      <c r="K147" s="95">
        <f t="shared" si="112"/>
        <v>0</v>
      </c>
      <c r="L147" s="95">
        <f t="shared" si="112"/>
        <v>0</v>
      </c>
      <c r="M147" s="95">
        <f t="shared" si="112"/>
        <v>0</v>
      </c>
      <c r="N147" s="95">
        <f t="shared" si="112"/>
        <v>0</v>
      </c>
      <c r="O147" s="95">
        <f t="shared" si="112"/>
        <v>0</v>
      </c>
      <c r="P147" s="95">
        <f t="shared" si="112"/>
        <v>0</v>
      </c>
      <c r="Q147" s="95">
        <f t="shared" si="112"/>
        <v>0</v>
      </c>
      <c r="R147" s="95">
        <f t="shared" si="112"/>
        <v>0</v>
      </c>
      <c r="S147" s="95">
        <f t="shared" si="112"/>
        <v>0</v>
      </c>
      <c r="T147" s="95">
        <f t="shared" si="112"/>
        <v>0</v>
      </c>
      <c r="U147" s="95">
        <f t="shared" si="112"/>
        <v>0</v>
      </c>
      <c r="V147" s="95">
        <f t="shared" si="112"/>
        <v>0</v>
      </c>
      <c r="W147" s="95">
        <f t="shared" si="112"/>
        <v>0</v>
      </c>
      <c r="X147" s="95">
        <f t="shared" si="112"/>
        <v>0</v>
      </c>
      <c r="Y147" s="95">
        <f t="shared" si="112"/>
        <v>0</v>
      </c>
      <c r="Z147" s="121"/>
    </row>
    <row r="148" spans="2:26">
      <c r="B148" s="61" t="str">
        <f>CONCATENATE($C$139,C148)</f>
        <v>&lt;Fyll inn navn på firma her&gt;Avhendingskostnader/restverdier</v>
      </c>
      <c r="C148" s="152" t="str">
        <f t="shared" si="107"/>
        <v>Avhendingskostnader/restverdier</v>
      </c>
      <c r="D148" s="153" t="str">
        <f t="shared" si="107"/>
        <v>Avhendingsutgifter - salgsinntekter</v>
      </c>
      <c r="E148" s="95">
        <f t="shared" ref="E148:Y148" si="113">IF(Levetid=E25,$M$21*(1+Justert_prisstigning)^E25,)</f>
        <v>0</v>
      </c>
      <c r="F148" s="95">
        <f t="shared" si="113"/>
        <v>0</v>
      </c>
      <c r="G148" s="95">
        <f t="shared" si="113"/>
        <v>0</v>
      </c>
      <c r="H148" s="95">
        <f t="shared" si="113"/>
        <v>0</v>
      </c>
      <c r="I148" s="95">
        <f t="shared" si="113"/>
        <v>0</v>
      </c>
      <c r="J148" s="95">
        <f t="shared" si="113"/>
        <v>0</v>
      </c>
      <c r="K148" s="95">
        <f t="shared" si="113"/>
        <v>0</v>
      </c>
      <c r="L148" s="95">
        <f t="shared" si="113"/>
        <v>0</v>
      </c>
      <c r="M148" s="95">
        <f t="shared" si="113"/>
        <v>0</v>
      </c>
      <c r="N148" s="95">
        <f t="shared" si="113"/>
        <v>0</v>
      </c>
      <c r="O148" s="95">
        <f t="shared" si="113"/>
        <v>0</v>
      </c>
      <c r="P148" s="95">
        <f t="shared" si="113"/>
        <v>0</v>
      </c>
      <c r="Q148" s="95">
        <f t="shared" si="113"/>
        <v>0</v>
      </c>
      <c r="R148" s="95">
        <f t="shared" si="113"/>
        <v>0</v>
      </c>
      <c r="S148" s="95">
        <f t="shared" si="113"/>
        <v>0</v>
      </c>
      <c r="T148" s="95">
        <f t="shared" si="113"/>
        <v>0</v>
      </c>
      <c r="U148" s="95">
        <f t="shared" si="113"/>
        <v>0</v>
      </c>
      <c r="V148" s="95">
        <f t="shared" si="113"/>
        <v>0</v>
      </c>
      <c r="W148" s="95">
        <f t="shared" si="113"/>
        <v>0</v>
      </c>
      <c r="X148" s="95">
        <f t="shared" si="113"/>
        <v>0</v>
      </c>
      <c r="Y148" s="95">
        <f t="shared" si="113"/>
        <v>0</v>
      </c>
      <c r="Z148" s="121"/>
    </row>
    <row r="149" spans="2:26">
      <c r="C149" s="152"/>
      <c r="D149" s="153" t="str">
        <f>+D46</f>
        <v>Sum utgifter i perioden</v>
      </c>
      <c r="E149" s="95">
        <f>SUM(E140:E148)</f>
        <v>0</v>
      </c>
      <c r="F149" s="95">
        <f t="shared" ref="F149:Y149" si="114">SUM(F140:F148)</f>
        <v>0</v>
      </c>
      <c r="G149" s="95">
        <f t="shared" si="114"/>
        <v>0</v>
      </c>
      <c r="H149" s="95">
        <f t="shared" si="114"/>
        <v>0</v>
      </c>
      <c r="I149" s="95">
        <f t="shared" si="114"/>
        <v>0</v>
      </c>
      <c r="J149" s="95">
        <f>SUM(J140:J148)</f>
        <v>0</v>
      </c>
      <c r="K149" s="95">
        <f t="shared" si="114"/>
        <v>0</v>
      </c>
      <c r="L149" s="95">
        <f t="shared" si="114"/>
        <v>0</v>
      </c>
      <c r="M149" s="95">
        <f t="shared" si="114"/>
        <v>0</v>
      </c>
      <c r="N149" s="95">
        <f t="shared" si="114"/>
        <v>0</v>
      </c>
      <c r="O149" s="95">
        <f t="shared" si="114"/>
        <v>0</v>
      </c>
      <c r="P149" s="95">
        <f t="shared" si="114"/>
        <v>0</v>
      </c>
      <c r="Q149" s="95">
        <f t="shared" si="114"/>
        <v>0</v>
      </c>
      <c r="R149" s="95">
        <f t="shared" si="114"/>
        <v>0</v>
      </c>
      <c r="S149" s="95">
        <f t="shared" si="114"/>
        <v>0</v>
      </c>
      <c r="T149" s="95">
        <f t="shared" si="114"/>
        <v>0</v>
      </c>
      <c r="U149" s="95">
        <f t="shared" si="114"/>
        <v>0</v>
      </c>
      <c r="V149" s="95">
        <f t="shared" si="114"/>
        <v>0</v>
      </c>
      <c r="W149" s="95">
        <f t="shared" si="114"/>
        <v>0</v>
      </c>
      <c r="X149" s="95">
        <f t="shared" si="114"/>
        <v>0</v>
      </c>
      <c r="Y149" s="95">
        <f t="shared" si="114"/>
        <v>0</v>
      </c>
      <c r="Z149" s="121"/>
    </row>
    <row r="150" spans="2:26">
      <c r="C150" s="152"/>
      <c r="D150" s="153" t="str">
        <f>+D47</f>
        <v>Nåverdi</v>
      </c>
      <c r="E150" s="95">
        <f>+E149*E23</f>
        <v>0</v>
      </c>
      <c r="F150" s="95">
        <f>+F149*F23</f>
        <v>0</v>
      </c>
      <c r="G150" s="95">
        <f t="shared" ref="G150:Y150" si="115">+G149*G23</f>
        <v>0</v>
      </c>
      <c r="H150" s="95">
        <f t="shared" si="115"/>
        <v>0</v>
      </c>
      <c r="I150" s="95">
        <f t="shared" si="115"/>
        <v>0</v>
      </c>
      <c r="J150" s="95">
        <f t="shared" si="115"/>
        <v>0</v>
      </c>
      <c r="K150" s="95">
        <f t="shared" si="115"/>
        <v>0</v>
      </c>
      <c r="L150" s="95">
        <f t="shared" si="115"/>
        <v>0</v>
      </c>
      <c r="M150" s="95">
        <f t="shared" si="115"/>
        <v>0</v>
      </c>
      <c r="N150" s="95">
        <f t="shared" si="115"/>
        <v>0</v>
      </c>
      <c r="O150" s="95">
        <f t="shared" si="115"/>
        <v>0</v>
      </c>
      <c r="P150" s="95">
        <f t="shared" si="115"/>
        <v>0</v>
      </c>
      <c r="Q150" s="95">
        <f t="shared" si="115"/>
        <v>0</v>
      </c>
      <c r="R150" s="95">
        <f t="shared" si="115"/>
        <v>0</v>
      </c>
      <c r="S150" s="95">
        <f t="shared" si="115"/>
        <v>0</v>
      </c>
      <c r="T150" s="95">
        <f t="shared" si="115"/>
        <v>0</v>
      </c>
      <c r="U150" s="95">
        <f t="shared" si="115"/>
        <v>0</v>
      </c>
      <c r="V150" s="95">
        <f t="shared" si="115"/>
        <v>0</v>
      </c>
      <c r="W150" s="95">
        <f t="shared" si="115"/>
        <v>0</v>
      </c>
      <c r="X150" s="95">
        <f t="shared" si="115"/>
        <v>0</v>
      </c>
      <c r="Y150" s="95">
        <f t="shared" si="115"/>
        <v>0</v>
      </c>
      <c r="Z150" s="121">
        <f>SUM(E150:Y150)</f>
        <v>0</v>
      </c>
    </row>
    <row r="151" spans="2:26">
      <c r="C151" s="152"/>
      <c r="D151" s="95" t="s">
        <v>159</v>
      </c>
      <c r="E151" s="95">
        <f>+E148*E$23</f>
        <v>0</v>
      </c>
      <c r="F151" s="95">
        <f t="shared" ref="F151:Y151" si="116">+F148*F$23</f>
        <v>0</v>
      </c>
      <c r="G151" s="95">
        <f t="shared" si="116"/>
        <v>0</v>
      </c>
      <c r="H151" s="95">
        <f t="shared" si="116"/>
        <v>0</v>
      </c>
      <c r="I151" s="95">
        <f t="shared" si="116"/>
        <v>0</v>
      </c>
      <c r="J151" s="95">
        <f>+J148*J$23</f>
        <v>0</v>
      </c>
      <c r="K151" s="95">
        <f t="shared" si="116"/>
        <v>0</v>
      </c>
      <c r="L151" s="95">
        <f>+L148*L$23</f>
        <v>0</v>
      </c>
      <c r="M151" s="95">
        <f t="shared" si="116"/>
        <v>0</v>
      </c>
      <c r="N151" s="95">
        <f t="shared" si="116"/>
        <v>0</v>
      </c>
      <c r="O151" s="95">
        <f t="shared" si="116"/>
        <v>0</v>
      </c>
      <c r="P151" s="95">
        <f t="shared" si="116"/>
        <v>0</v>
      </c>
      <c r="Q151" s="95">
        <f t="shared" si="116"/>
        <v>0</v>
      </c>
      <c r="R151" s="95">
        <f t="shared" si="116"/>
        <v>0</v>
      </c>
      <c r="S151" s="95">
        <f t="shared" si="116"/>
        <v>0</v>
      </c>
      <c r="T151" s="95">
        <f>+T148*T$23</f>
        <v>0</v>
      </c>
      <c r="U151" s="95">
        <f t="shared" si="116"/>
        <v>0</v>
      </c>
      <c r="V151" s="95">
        <f t="shared" si="116"/>
        <v>0</v>
      </c>
      <c r="W151" s="95">
        <f t="shared" si="116"/>
        <v>0</v>
      </c>
      <c r="X151" s="95">
        <f t="shared" si="116"/>
        <v>0</v>
      </c>
      <c r="Y151" s="95">
        <f t="shared" si="116"/>
        <v>0</v>
      </c>
      <c r="Z151" s="121"/>
    </row>
    <row r="152" spans="2:26">
      <c r="C152" s="154"/>
      <c r="D152" s="155" t="s">
        <v>27</v>
      </c>
      <c r="E152" s="135">
        <f>+E150-E33</f>
        <v>0</v>
      </c>
      <c r="F152" s="135">
        <f t="shared" ref="F152:Y152" si="117">+F150-F33</f>
        <v>0</v>
      </c>
      <c r="G152" s="135">
        <f t="shared" si="117"/>
        <v>0</v>
      </c>
      <c r="H152" s="135">
        <f t="shared" si="117"/>
        <v>0</v>
      </c>
      <c r="I152" s="135">
        <f t="shared" si="117"/>
        <v>0</v>
      </c>
      <c r="J152" s="135">
        <f t="shared" si="117"/>
        <v>0</v>
      </c>
      <c r="K152" s="135">
        <f t="shared" si="117"/>
        <v>0</v>
      </c>
      <c r="L152" s="135">
        <f t="shared" si="117"/>
        <v>0</v>
      </c>
      <c r="M152" s="135">
        <f t="shared" si="117"/>
        <v>0</v>
      </c>
      <c r="N152" s="135">
        <f t="shared" si="117"/>
        <v>0</v>
      </c>
      <c r="O152" s="135">
        <f t="shared" si="117"/>
        <v>0</v>
      </c>
      <c r="P152" s="135">
        <f t="shared" si="117"/>
        <v>0</v>
      </c>
      <c r="Q152" s="135">
        <f t="shared" si="117"/>
        <v>0</v>
      </c>
      <c r="R152" s="135">
        <f t="shared" si="117"/>
        <v>0</v>
      </c>
      <c r="S152" s="135">
        <f t="shared" si="117"/>
        <v>0</v>
      </c>
      <c r="T152" s="135">
        <f t="shared" si="117"/>
        <v>0</v>
      </c>
      <c r="U152" s="135">
        <f t="shared" si="117"/>
        <v>0</v>
      </c>
      <c r="V152" s="135">
        <f t="shared" si="117"/>
        <v>0</v>
      </c>
      <c r="W152" s="135">
        <f t="shared" si="117"/>
        <v>0</v>
      </c>
      <c r="X152" s="135">
        <f t="shared" si="117"/>
        <v>0</v>
      </c>
      <c r="Y152" s="135">
        <f t="shared" si="117"/>
        <v>0</v>
      </c>
      <c r="Z152" s="145" t="e">
        <f>+Z150-Z33</f>
        <v>#VALUE!</v>
      </c>
    </row>
    <row r="153" spans="2:26">
      <c r="C153" s="83"/>
      <c r="D153" s="83"/>
    </row>
    <row r="154" spans="2:26">
      <c r="C154" s="91" t="str">
        <f>+N7</f>
        <v>&lt;Fyll inn navn på firma her&gt;</v>
      </c>
      <c r="D154" s="92" t="s">
        <v>194</v>
      </c>
      <c r="E154" s="150">
        <v>0</v>
      </c>
      <c r="F154" s="150">
        <v>1</v>
      </c>
      <c r="G154" s="150">
        <v>2</v>
      </c>
      <c r="H154" s="150">
        <v>3</v>
      </c>
      <c r="I154" s="150">
        <v>4</v>
      </c>
      <c r="J154" s="150">
        <v>5</v>
      </c>
      <c r="K154" s="150">
        <v>6</v>
      </c>
      <c r="L154" s="150">
        <v>7</v>
      </c>
      <c r="M154" s="150">
        <v>8</v>
      </c>
      <c r="N154" s="150">
        <v>9</v>
      </c>
      <c r="O154" s="150">
        <v>10</v>
      </c>
      <c r="P154" s="150">
        <v>11</v>
      </c>
      <c r="Q154" s="150">
        <v>12</v>
      </c>
      <c r="R154" s="150">
        <v>13</v>
      </c>
      <c r="S154" s="150">
        <v>14</v>
      </c>
      <c r="T154" s="150">
        <v>15</v>
      </c>
      <c r="U154" s="150">
        <v>16</v>
      </c>
      <c r="V154" s="150">
        <v>17</v>
      </c>
      <c r="W154" s="150">
        <v>18</v>
      </c>
      <c r="X154" s="150">
        <v>19</v>
      </c>
      <c r="Y154" s="150">
        <v>20</v>
      </c>
      <c r="Z154" s="151"/>
    </row>
    <row r="155" spans="2:26">
      <c r="B155" s="61" t="str">
        <f>CONCATENATE($C$154,C155)</f>
        <v>&lt;Fyll inn navn på firma her&gt;Investeringskost 1</v>
      </c>
      <c r="C155" s="152" t="str">
        <f>+C9</f>
        <v>Investeringskost 1</v>
      </c>
      <c r="D155" s="153" t="str">
        <f t="shared" ref="D155:D163" si="118">+D37</f>
        <v>Bil med sommer og vinterdekk</v>
      </c>
      <c r="E155" s="95">
        <f>+N9</f>
        <v>0</v>
      </c>
      <c r="F155" s="95"/>
      <c r="G155" s="104"/>
      <c r="H155" s="95"/>
      <c r="I155" s="95"/>
      <c r="J155" s="95"/>
      <c r="K155" s="95"/>
      <c r="L155" s="95"/>
      <c r="M155" s="95"/>
      <c r="N155" s="95"/>
      <c r="O155" s="95"/>
      <c r="P155" s="95"/>
      <c r="Q155" s="95"/>
      <c r="R155" s="95"/>
      <c r="S155" s="95"/>
      <c r="T155" s="95"/>
      <c r="U155" s="95"/>
      <c r="V155" s="95"/>
      <c r="W155" s="95"/>
      <c r="X155" s="95"/>
      <c r="Y155" s="95"/>
      <c r="Z155" s="121"/>
    </row>
    <row r="156" spans="2:26">
      <c r="B156" s="61" t="str">
        <f t="shared" ref="B156:B163" si="119">CONCATENATE($C$154,C156)</f>
        <v>&lt;Fyll inn navn på firma her&gt;Investeringskost 2</v>
      </c>
      <c r="C156" s="152" t="str">
        <f>+C10</f>
        <v>Investeringskost 2</v>
      </c>
      <c r="D156" s="153" t="str">
        <f t="shared" si="118"/>
        <v>Ekstrautstyr: automatgir og ryggesensor</v>
      </c>
      <c r="E156" s="95">
        <f>+N10</f>
        <v>0</v>
      </c>
      <c r="F156" s="95"/>
      <c r="G156" s="104"/>
      <c r="H156" s="95"/>
      <c r="I156" s="95"/>
      <c r="J156" s="95"/>
      <c r="K156" s="95"/>
      <c r="L156" s="95"/>
      <c r="M156" s="95"/>
      <c r="N156" s="95"/>
      <c r="O156" s="95"/>
      <c r="P156" s="95"/>
      <c r="Q156" s="95"/>
      <c r="R156" s="95"/>
      <c r="S156" s="95"/>
      <c r="T156" s="95"/>
      <c r="U156" s="95"/>
      <c r="V156" s="95"/>
      <c r="W156" s="95"/>
      <c r="X156" s="95"/>
      <c r="Y156" s="95"/>
      <c r="Z156" s="121"/>
    </row>
    <row r="157" spans="2:26">
      <c r="B157" s="61" t="str">
        <f t="shared" si="119"/>
        <v>&lt;Fyll inn navn på firma her&gt;Investeringskost 3</v>
      </c>
      <c r="C157" s="152" t="str">
        <f>+C11</f>
        <v>Investeringskost 3</v>
      </c>
      <c r="D157" s="153" t="str">
        <f t="shared" si="118"/>
        <v>Andre investeringskostnader</v>
      </c>
      <c r="E157" s="95">
        <f>+N11</f>
        <v>0</v>
      </c>
      <c r="F157" s="95"/>
      <c r="G157" s="104"/>
      <c r="H157" s="95"/>
      <c r="I157" s="95"/>
      <c r="J157" s="95"/>
      <c r="K157" s="95"/>
      <c r="L157" s="95"/>
      <c r="M157" s="95"/>
      <c r="N157" s="95"/>
      <c r="O157" s="95"/>
      <c r="P157" s="95"/>
      <c r="Q157" s="95"/>
      <c r="R157" s="95"/>
      <c r="S157" s="95"/>
      <c r="T157" s="95"/>
      <c r="U157" s="95"/>
      <c r="V157" s="95"/>
      <c r="W157" s="95"/>
      <c r="X157" s="95"/>
      <c r="Y157" s="95"/>
      <c r="Z157" s="121"/>
    </row>
    <row r="158" spans="2:26">
      <c r="B158" s="61" t="str">
        <f t="shared" si="119"/>
        <v>&lt;Fyll inn navn på firma her&gt;Driftsutgift 1 (per år)</v>
      </c>
      <c r="C158" s="152" t="str">
        <f>+C14</f>
        <v>Driftsutgift 1 (per år)</v>
      </c>
      <c r="D158" s="153" t="str">
        <f t="shared" si="118"/>
        <v>Forsikring</v>
      </c>
      <c r="E158" s="95"/>
      <c r="F158" s="95">
        <f t="shared" ref="F158:Y158" si="120">IF(F$25&lt;=Levetid,$N14*(1+Justert_prisstigning)^F$25,)</f>
        <v>0</v>
      </c>
      <c r="G158" s="95">
        <f t="shared" si="120"/>
        <v>0</v>
      </c>
      <c r="H158" s="95">
        <f t="shared" si="120"/>
        <v>0</v>
      </c>
      <c r="I158" s="95">
        <f t="shared" si="120"/>
        <v>0</v>
      </c>
      <c r="J158" s="95">
        <f t="shared" si="120"/>
        <v>0</v>
      </c>
      <c r="K158" s="95">
        <f t="shared" si="120"/>
        <v>0</v>
      </c>
      <c r="L158" s="95">
        <f t="shared" si="120"/>
        <v>0</v>
      </c>
      <c r="M158" s="95">
        <f t="shared" si="120"/>
        <v>0</v>
      </c>
      <c r="N158" s="95">
        <f t="shared" si="120"/>
        <v>0</v>
      </c>
      <c r="O158" s="95">
        <f t="shared" si="120"/>
        <v>0</v>
      </c>
      <c r="P158" s="95">
        <f t="shared" si="120"/>
        <v>0</v>
      </c>
      <c r="Q158" s="95">
        <f t="shared" si="120"/>
        <v>0</v>
      </c>
      <c r="R158" s="95">
        <f t="shared" si="120"/>
        <v>0</v>
      </c>
      <c r="S158" s="95">
        <f t="shared" si="120"/>
        <v>0</v>
      </c>
      <c r="T158" s="95">
        <f t="shared" si="120"/>
        <v>0</v>
      </c>
      <c r="U158" s="95">
        <f t="shared" si="120"/>
        <v>0</v>
      </c>
      <c r="V158" s="95">
        <f t="shared" si="120"/>
        <v>0</v>
      </c>
      <c r="W158" s="95">
        <f t="shared" si="120"/>
        <v>0</v>
      </c>
      <c r="X158" s="95">
        <f t="shared" si="120"/>
        <v>0</v>
      </c>
      <c r="Y158" s="95">
        <f t="shared" si="120"/>
        <v>0</v>
      </c>
      <c r="Z158" s="121"/>
    </row>
    <row r="159" spans="2:26">
      <c r="B159" s="61" t="str">
        <f t="shared" si="119"/>
        <v>&lt;Fyll inn navn på firma her&gt;Driftsutgift 2 (per år)</v>
      </c>
      <c r="C159" s="152" t="str">
        <f>+C15</f>
        <v>Driftsutgift 2 (per år)</v>
      </c>
      <c r="D159" s="153" t="str">
        <f t="shared" si="118"/>
        <v>Reparasjon og vedlikehold</v>
      </c>
      <c r="E159" s="95"/>
      <c r="F159" s="95">
        <f t="shared" ref="F159:Y159" si="121">IF(F$25&lt;=Levetid,$N15*(1+Justert_prisstigning)^F$25,)</f>
        <v>0</v>
      </c>
      <c r="G159" s="95">
        <f t="shared" si="121"/>
        <v>0</v>
      </c>
      <c r="H159" s="95">
        <f t="shared" si="121"/>
        <v>0</v>
      </c>
      <c r="I159" s="95">
        <f t="shared" si="121"/>
        <v>0</v>
      </c>
      <c r="J159" s="95">
        <f t="shared" si="121"/>
        <v>0</v>
      </c>
      <c r="K159" s="95">
        <f t="shared" si="121"/>
        <v>0</v>
      </c>
      <c r="L159" s="95">
        <f t="shared" si="121"/>
        <v>0</v>
      </c>
      <c r="M159" s="95">
        <f t="shared" si="121"/>
        <v>0</v>
      </c>
      <c r="N159" s="95">
        <f t="shared" si="121"/>
        <v>0</v>
      </c>
      <c r="O159" s="95">
        <f t="shared" si="121"/>
        <v>0</v>
      </c>
      <c r="P159" s="95">
        <f t="shared" si="121"/>
        <v>0</v>
      </c>
      <c r="Q159" s="95">
        <f t="shared" si="121"/>
        <v>0</v>
      </c>
      <c r="R159" s="95">
        <f t="shared" si="121"/>
        <v>0</v>
      </c>
      <c r="S159" s="95">
        <f t="shared" si="121"/>
        <v>0</v>
      </c>
      <c r="T159" s="95">
        <f t="shared" si="121"/>
        <v>0</v>
      </c>
      <c r="U159" s="95">
        <f t="shared" si="121"/>
        <v>0</v>
      </c>
      <c r="V159" s="95">
        <f t="shared" si="121"/>
        <v>0</v>
      </c>
      <c r="W159" s="95">
        <f t="shared" si="121"/>
        <v>0</v>
      </c>
      <c r="X159" s="95">
        <f t="shared" si="121"/>
        <v>0</v>
      </c>
      <c r="Y159" s="95">
        <f t="shared" si="121"/>
        <v>0</v>
      </c>
      <c r="Z159" s="121"/>
    </row>
    <row r="160" spans="2:26">
      <c r="B160" s="61" t="str">
        <f t="shared" si="119"/>
        <v>&lt;Fyll inn navn på firma her&gt;Driftsutgift 3 (per år)</v>
      </c>
      <c r="C160" s="152" t="str">
        <f>+C16</f>
        <v>Driftsutgift 3 (per år)</v>
      </c>
      <c r="D160" s="153" t="str">
        <f t="shared" si="118"/>
        <v>Forbruk (kjørelengde 1 400 mil årlig forbruk fra spekk/test)</v>
      </c>
      <c r="E160" s="95"/>
      <c r="F160" s="95">
        <f t="shared" ref="F160:Y160" si="122">IF(F$25&lt;=Levetid,$N16*(1+Justert_prisstigning)^F$25,)</f>
        <v>0</v>
      </c>
      <c r="G160" s="95">
        <f t="shared" si="122"/>
        <v>0</v>
      </c>
      <c r="H160" s="95">
        <f t="shared" si="122"/>
        <v>0</v>
      </c>
      <c r="I160" s="95">
        <f t="shared" si="122"/>
        <v>0</v>
      </c>
      <c r="J160" s="95">
        <f t="shared" si="122"/>
        <v>0</v>
      </c>
      <c r="K160" s="95">
        <f t="shared" si="122"/>
        <v>0</v>
      </c>
      <c r="L160" s="95">
        <f t="shared" si="122"/>
        <v>0</v>
      </c>
      <c r="M160" s="95">
        <f t="shared" si="122"/>
        <v>0</v>
      </c>
      <c r="N160" s="95">
        <f t="shared" si="122"/>
        <v>0</v>
      </c>
      <c r="O160" s="95">
        <f t="shared" si="122"/>
        <v>0</v>
      </c>
      <c r="P160" s="95">
        <f t="shared" si="122"/>
        <v>0</v>
      </c>
      <c r="Q160" s="95">
        <f t="shared" si="122"/>
        <v>0</v>
      </c>
      <c r="R160" s="95">
        <f t="shared" si="122"/>
        <v>0</v>
      </c>
      <c r="S160" s="95">
        <f t="shared" si="122"/>
        <v>0</v>
      </c>
      <c r="T160" s="95">
        <f t="shared" si="122"/>
        <v>0</v>
      </c>
      <c r="U160" s="95">
        <f t="shared" si="122"/>
        <v>0</v>
      </c>
      <c r="V160" s="95">
        <f t="shared" si="122"/>
        <v>0</v>
      </c>
      <c r="W160" s="95">
        <f t="shared" si="122"/>
        <v>0</v>
      </c>
      <c r="X160" s="95">
        <f t="shared" si="122"/>
        <v>0</v>
      </c>
      <c r="Y160" s="95">
        <f t="shared" si="122"/>
        <v>0</v>
      </c>
      <c r="Z160" s="121"/>
    </row>
    <row r="161" spans="2:26">
      <c r="B161" s="61" t="str">
        <f t="shared" si="119"/>
        <v>&lt;Fyll inn navn på firma her&gt;Driftsutgift 4 (per år)</v>
      </c>
      <c r="C161" s="152" t="str">
        <f>+C17</f>
        <v>Driftsutgift 4 (per år)</v>
      </c>
      <c r="D161" s="153" t="str">
        <f t="shared" si="118"/>
        <v>Årsavgift</v>
      </c>
      <c r="E161" s="95"/>
      <c r="F161" s="95">
        <f t="shared" ref="F161:Y161" si="123">IF(F$25&lt;=Levetid,$N17*(1+Justert_prisstigning)^F$25,)</f>
        <v>0</v>
      </c>
      <c r="G161" s="95">
        <f t="shared" si="123"/>
        <v>0</v>
      </c>
      <c r="H161" s="95">
        <f t="shared" si="123"/>
        <v>0</v>
      </c>
      <c r="I161" s="95">
        <f t="shared" si="123"/>
        <v>0</v>
      </c>
      <c r="J161" s="95">
        <f t="shared" si="123"/>
        <v>0</v>
      </c>
      <c r="K161" s="95">
        <f t="shared" si="123"/>
        <v>0</v>
      </c>
      <c r="L161" s="95">
        <f t="shared" si="123"/>
        <v>0</v>
      </c>
      <c r="M161" s="95">
        <f t="shared" si="123"/>
        <v>0</v>
      </c>
      <c r="N161" s="95">
        <f t="shared" si="123"/>
        <v>0</v>
      </c>
      <c r="O161" s="95">
        <f t="shared" si="123"/>
        <v>0</v>
      </c>
      <c r="P161" s="95">
        <f t="shared" si="123"/>
        <v>0</v>
      </c>
      <c r="Q161" s="95">
        <f t="shared" si="123"/>
        <v>0</v>
      </c>
      <c r="R161" s="95">
        <f t="shared" si="123"/>
        <v>0</v>
      </c>
      <c r="S161" s="95">
        <f t="shared" si="123"/>
        <v>0</v>
      </c>
      <c r="T161" s="95">
        <f t="shared" si="123"/>
        <v>0</v>
      </c>
      <c r="U161" s="95">
        <f t="shared" si="123"/>
        <v>0</v>
      </c>
      <c r="V161" s="95">
        <f t="shared" si="123"/>
        <v>0</v>
      </c>
      <c r="W161" s="95">
        <f t="shared" si="123"/>
        <v>0</v>
      </c>
      <c r="X161" s="95">
        <f t="shared" si="123"/>
        <v>0</v>
      </c>
      <c r="Y161" s="95">
        <f t="shared" si="123"/>
        <v>0</v>
      </c>
      <c r="Z161" s="121"/>
    </row>
    <row r="162" spans="2:26">
      <c r="B162" s="61" t="str">
        <f t="shared" si="119"/>
        <v>&lt;Fyll inn navn på firma her&gt;Driftsutgift 5 (per år)</v>
      </c>
      <c r="C162" s="152" t="str">
        <f>+C18</f>
        <v>Driftsutgift 5 (per år)</v>
      </c>
      <c r="D162" s="153" t="str">
        <f t="shared" si="118"/>
        <v>Andre driftskostnader</v>
      </c>
      <c r="E162" s="95"/>
      <c r="F162" s="95">
        <f t="shared" ref="F162:Y162" si="124">IF(F$25&lt;=Levetid,$N18*(1+Justert_prisstigning)^F$25,)</f>
        <v>0</v>
      </c>
      <c r="G162" s="95">
        <f t="shared" si="124"/>
        <v>0</v>
      </c>
      <c r="H162" s="95">
        <f t="shared" si="124"/>
        <v>0</v>
      </c>
      <c r="I162" s="95">
        <f t="shared" si="124"/>
        <v>0</v>
      </c>
      <c r="J162" s="95">
        <f t="shared" si="124"/>
        <v>0</v>
      </c>
      <c r="K162" s="95">
        <f t="shared" si="124"/>
        <v>0</v>
      </c>
      <c r="L162" s="95">
        <f t="shared" si="124"/>
        <v>0</v>
      </c>
      <c r="M162" s="95">
        <f t="shared" si="124"/>
        <v>0</v>
      </c>
      <c r="N162" s="95">
        <f t="shared" si="124"/>
        <v>0</v>
      </c>
      <c r="O162" s="95">
        <f t="shared" si="124"/>
        <v>0</v>
      </c>
      <c r="P162" s="95">
        <f t="shared" si="124"/>
        <v>0</v>
      </c>
      <c r="Q162" s="95">
        <f t="shared" si="124"/>
        <v>0</v>
      </c>
      <c r="R162" s="95">
        <f t="shared" si="124"/>
        <v>0</v>
      </c>
      <c r="S162" s="95">
        <f t="shared" si="124"/>
        <v>0</v>
      </c>
      <c r="T162" s="95">
        <f t="shared" si="124"/>
        <v>0</v>
      </c>
      <c r="U162" s="95">
        <f t="shared" si="124"/>
        <v>0</v>
      </c>
      <c r="V162" s="95">
        <f t="shared" si="124"/>
        <v>0</v>
      </c>
      <c r="W162" s="95">
        <f t="shared" si="124"/>
        <v>0</v>
      </c>
      <c r="X162" s="95">
        <f t="shared" si="124"/>
        <v>0</v>
      </c>
      <c r="Y162" s="95">
        <f t="shared" si="124"/>
        <v>0</v>
      </c>
      <c r="Z162" s="121"/>
    </row>
    <row r="163" spans="2:26">
      <c r="B163" s="61" t="str">
        <f t="shared" si="119"/>
        <v>&lt;Fyll inn navn på firma her&gt;Avhendingskostnader/restverdier</v>
      </c>
      <c r="C163" s="152" t="str">
        <f>+C21</f>
        <v>Avhendingskostnader/restverdier</v>
      </c>
      <c r="D163" s="153" t="str">
        <f t="shared" si="118"/>
        <v>Avhendingsutgifter - salgsinntekter</v>
      </c>
      <c r="E163" s="95">
        <f t="shared" ref="E163:Y163" si="125">IF(E$25=Levetid,$N21*(1+Justert_prisstigning)^E$25,)</f>
        <v>0</v>
      </c>
      <c r="F163" s="95">
        <f t="shared" si="125"/>
        <v>0</v>
      </c>
      <c r="G163" s="95">
        <f t="shared" si="125"/>
        <v>0</v>
      </c>
      <c r="H163" s="95">
        <f t="shared" si="125"/>
        <v>0</v>
      </c>
      <c r="I163" s="95">
        <f t="shared" si="125"/>
        <v>0</v>
      </c>
      <c r="J163" s="95">
        <f t="shared" si="125"/>
        <v>0</v>
      </c>
      <c r="K163" s="95">
        <f t="shared" si="125"/>
        <v>0</v>
      </c>
      <c r="L163" s="95">
        <f t="shared" si="125"/>
        <v>0</v>
      </c>
      <c r="M163" s="95">
        <f t="shared" si="125"/>
        <v>0</v>
      </c>
      <c r="N163" s="95">
        <f t="shared" si="125"/>
        <v>0</v>
      </c>
      <c r="O163" s="95">
        <f t="shared" si="125"/>
        <v>0</v>
      </c>
      <c r="P163" s="95">
        <f t="shared" si="125"/>
        <v>0</v>
      </c>
      <c r="Q163" s="95">
        <f t="shared" si="125"/>
        <v>0</v>
      </c>
      <c r="R163" s="95">
        <f t="shared" si="125"/>
        <v>0</v>
      </c>
      <c r="S163" s="95">
        <f t="shared" si="125"/>
        <v>0</v>
      </c>
      <c r="T163" s="95">
        <f t="shared" si="125"/>
        <v>0</v>
      </c>
      <c r="U163" s="95">
        <f t="shared" si="125"/>
        <v>0</v>
      </c>
      <c r="V163" s="95">
        <f t="shared" si="125"/>
        <v>0</v>
      </c>
      <c r="W163" s="95">
        <f t="shared" si="125"/>
        <v>0</v>
      </c>
      <c r="X163" s="95">
        <f t="shared" si="125"/>
        <v>0</v>
      </c>
      <c r="Y163" s="95">
        <f t="shared" si="125"/>
        <v>0</v>
      </c>
      <c r="Z163" s="121"/>
    </row>
    <row r="164" spans="2:26">
      <c r="C164" s="152"/>
      <c r="D164" s="95" t="s">
        <v>28</v>
      </c>
      <c r="E164" s="95">
        <f t="shared" ref="E164:Y164" si="126">SUM(E155:E163)</f>
        <v>0</v>
      </c>
      <c r="F164" s="95">
        <f t="shared" si="126"/>
        <v>0</v>
      </c>
      <c r="G164" s="95">
        <f t="shared" si="126"/>
        <v>0</v>
      </c>
      <c r="H164" s="95">
        <f>SUM(H155:H163)</f>
        <v>0</v>
      </c>
      <c r="I164" s="95">
        <f t="shared" si="126"/>
        <v>0</v>
      </c>
      <c r="J164" s="95">
        <f t="shared" si="126"/>
        <v>0</v>
      </c>
      <c r="K164" s="95">
        <f t="shared" si="126"/>
        <v>0</v>
      </c>
      <c r="L164" s="95">
        <f t="shared" si="126"/>
        <v>0</v>
      </c>
      <c r="M164" s="95">
        <f t="shared" si="126"/>
        <v>0</v>
      </c>
      <c r="N164" s="95">
        <f t="shared" si="126"/>
        <v>0</v>
      </c>
      <c r="O164" s="95">
        <f t="shared" si="126"/>
        <v>0</v>
      </c>
      <c r="P164" s="95">
        <f t="shared" si="126"/>
        <v>0</v>
      </c>
      <c r="Q164" s="95">
        <f t="shared" si="126"/>
        <v>0</v>
      </c>
      <c r="R164" s="95">
        <f t="shared" si="126"/>
        <v>0</v>
      </c>
      <c r="S164" s="95">
        <f t="shared" si="126"/>
        <v>0</v>
      </c>
      <c r="T164" s="95">
        <f t="shared" si="126"/>
        <v>0</v>
      </c>
      <c r="U164" s="95">
        <f t="shared" si="126"/>
        <v>0</v>
      </c>
      <c r="V164" s="95">
        <f t="shared" si="126"/>
        <v>0</v>
      </c>
      <c r="W164" s="95">
        <f t="shared" si="126"/>
        <v>0</v>
      </c>
      <c r="X164" s="95">
        <f t="shared" si="126"/>
        <v>0</v>
      </c>
      <c r="Y164" s="95">
        <f t="shared" si="126"/>
        <v>0</v>
      </c>
      <c r="Z164" s="121"/>
    </row>
    <row r="165" spans="2:26">
      <c r="C165" s="152"/>
      <c r="D165" s="95" t="s">
        <v>21</v>
      </c>
      <c r="E165" s="95">
        <f>+E164*E23</f>
        <v>0</v>
      </c>
      <c r="F165" s="95">
        <f>+F164*F23</f>
        <v>0</v>
      </c>
      <c r="G165" s="95">
        <f t="shared" ref="G165:Y165" si="127">+G164*G23</f>
        <v>0</v>
      </c>
      <c r="H165" s="95">
        <f t="shared" si="127"/>
        <v>0</v>
      </c>
      <c r="I165" s="95">
        <f t="shared" si="127"/>
        <v>0</v>
      </c>
      <c r="J165" s="95">
        <f t="shared" si="127"/>
        <v>0</v>
      </c>
      <c r="K165" s="95">
        <f t="shared" si="127"/>
        <v>0</v>
      </c>
      <c r="L165" s="95">
        <f t="shared" si="127"/>
        <v>0</v>
      </c>
      <c r="M165" s="95">
        <f t="shared" si="127"/>
        <v>0</v>
      </c>
      <c r="N165" s="95">
        <f t="shared" si="127"/>
        <v>0</v>
      </c>
      <c r="O165" s="95">
        <f t="shared" si="127"/>
        <v>0</v>
      </c>
      <c r="P165" s="95">
        <f t="shared" si="127"/>
        <v>0</v>
      </c>
      <c r="Q165" s="95">
        <f t="shared" si="127"/>
        <v>0</v>
      </c>
      <c r="R165" s="95">
        <f t="shared" si="127"/>
        <v>0</v>
      </c>
      <c r="S165" s="95">
        <f t="shared" si="127"/>
        <v>0</v>
      </c>
      <c r="T165" s="95">
        <f t="shared" si="127"/>
        <v>0</v>
      </c>
      <c r="U165" s="95">
        <f t="shared" si="127"/>
        <v>0</v>
      </c>
      <c r="V165" s="95">
        <f t="shared" si="127"/>
        <v>0</v>
      </c>
      <c r="W165" s="95">
        <f t="shared" si="127"/>
        <v>0</v>
      </c>
      <c r="X165" s="95">
        <f t="shared" si="127"/>
        <v>0</v>
      </c>
      <c r="Y165" s="95">
        <f t="shared" si="127"/>
        <v>0</v>
      </c>
      <c r="Z165" s="121">
        <f>SUM(E165:Y165)</f>
        <v>0</v>
      </c>
    </row>
    <row r="166" spans="2:26">
      <c r="C166" s="152"/>
      <c r="D166" s="95" t="s">
        <v>159</v>
      </c>
      <c r="E166" s="95">
        <f>+E163*E23</f>
        <v>0</v>
      </c>
      <c r="F166" s="95">
        <f>+F163*F23</f>
        <v>0</v>
      </c>
      <c r="G166" s="95">
        <f>+G163*G23</f>
        <v>0</v>
      </c>
      <c r="H166" s="95">
        <f>+H163*H23</f>
        <v>0</v>
      </c>
      <c r="I166" s="95">
        <f t="shared" ref="I166:Y166" si="128">+I163*I23</f>
        <v>0</v>
      </c>
      <c r="J166" s="95">
        <f t="shared" si="128"/>
        <v>0</v>
      </c>
      <c r="K166" s="95">
        <f t="shared" si="128"/>
        <v>0</v>
      </c>
      <c r="L166" s="95">
        <f t="shared" si="128"/>
        <v>0</v>
      </c>
      <c r="M166" s="95">
        <f t="shared" si="128"/>
        <v>0</v>
      </c>
      <c r="N166" s="95">
        <f t="shared" si="128"/>
        <v>0</v>
      </c>
      <c r="O166" s="95">
        <f t="shared" si="128"/>
        <v>0</v>
      </c>
      <c r="P166" s="95">
        <f t="shared" si="128"/>
        <v>0</v>
      </c>
      <c r="Q166" s="95">
        <f t="shared" si="128"/>
        <v>0</v>
      </c>
      <c r="R166" s="95">
        <f t="shared" si="128"/>
        <v>0</v>
      </c>
      <c r="S166" s="95">
        <f t="shared" si="128"/>
        <v>0</v>
      </c>
      <c r="T166" s="95">
        <f t="shared" si="128"/>
        <v>0</v>
      </c>
      <c r="U166" s="95">
        <f t="shared" si="128"/>
        <v>0</v>
      </c>
      <c r="V166" s="95">
        <f t="shared" si="128"/>
        <v>0</v>
      </c>
      <c r="W166" s="95">
        <f t="shared" si="128"/>
        <v>0</v>
      </c>
      <c r="X166" s="95">
        <f t="shared" si="128"/>
        <v>0</v>
      </c>
      <c r="Y166" s="95">
        <f t="shared" si="128"/>
        <v>0</v>
      </c>
      <c r="Z166" s="121">
        <f>SUM(E166:Y166)</f>
        <v>0</v>
      </c>
    </row>
    <row r="167" spans="2:26">
      <c r="C167" s="154"/>
      <c r="D167" s="155" t="s">
        <v>27</v>
      </c>
      <c r="E167" s="135">
        <f>+E165-E34</f>
        <v>0</v>
      </c>
      <c r="F167" s="135">
        <f t="shared" ref="F167:Z167" si="129">+F165-F34</f>
        <v>0</v>
      </c>
      <c r="G167" s="135">
        <f t="shared" si="129"/>
        <v>0</v>
      </c>
      <c r="H167" s="135">
        <f t="shared" si="129"/>
        <v>0</v>
      </c>
      <c r="I167" s="135">
        <f t="shared" si="129"/>
        <v>0</v>
      </c>
      <c r="J167" s="135">
        <f t="shared" si="129"/>
        <v>0</v>
      </c>
      <c r="K167" s="135">
        <f t="shared" si="129"/>
        <v>0</v>
      </c>
      <c r="L167" s="135">
        <f t="shared" si="129"/>
        <v>0</v>
      </c>
      <c r="M167" s="135">
        <f t="shared" si="129"/>
        <v>0</v>
      </c>
      <c r="N167" s="135">
        <f t="shared" si="129"/>
        <v>0</v>
      </c>
      <c r="O167" s="135">
        <f t="shared" si="129"/>
        <v>0</v>
      </c>
      <c r="P167" s="135">
        <f t="shared" si="129"/>
        <v>0</v>
      </c>
      <c r="Q167" s="135">
        <f t="shared" si="129"/>
        <v>0</v>
      </c>
      <c r="R167" s="135">
        <f t="shared" si="129"/>
        <v>0</v>
      </c>
      <c r="S167" s="135">
        <f t="shared" si="129"/>
        <v>0</v>
      </c>
      <c r="T167" s="135">
        <f t="shared" si="129"/>
        <v>0</v>
      </c>
      <c r="U167" s="135">
        <f t="shared" si="129"/>
        <v>0</v>
      </c>
      <c r="V167" s="135">
        <f t="shared" si="129"/>
        <v>0</v>
      </c>
      <c r="W167" s="135">
        <f t="shared" si="129"/>
        <v>0</v>
      </c>
      <c r="X167" s="135">
        <f t="shared" si="129"/>
        <v>0</v>
      </c>
      <c r="Y167" s="135">
        <f t="shared" si="129"/>
        <v>0</v>
      </c>
      <c r="Z167" s="145" t="e">
        <f t="shared" si="129"/>
        <v>#VALUE!</v>
      </c>
    </row>
  </sheetData>
  <sheetProtection algorithmName="SHA-512" hashValue="xCZSPecmQPE818RKcK6iLDhohgXlQYOLHjuH5may8cvtyxf63OoK5GPw3edIJYPifnlFYkI7n1W+VNcJjx695Q==" saltValue="HBlNCm1rxsvdOcbm69LaSA==" spinCount="100000" sheet="1" objects="1" scenarios="1"/>
  <mergeCells count="1">
    <mergeCell ref="C62:Z62"/>
  </mergeCells>
  <pageMargins left="0.70866141732283472" right="0.70866141732283472" top="0.74803149606299213" bottom="0.74803149606299213" header="0.31496062992125984" footer="0.31496062992125984"/>
  <pageSetup paperSize="9" scale="20" orientation="landscape" r:id="rId1"/>
  <headerFooter>
    <oddFooter>&amp;L&amp;F&amp;C&amp;A&amp;Rside &amp;P/&amp;N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58023"/>
    <pageSetUpPr fitToPage="1"/>
  </sheetPr>
  <dimension ref="B2:I29"/>
  <sheetViews>
    <sheetView workbookViewId="0">
      <selection activeCell="D25" sqref="D25"/>
    </sheetView>
  </sheetViews>
  <sheetFormatPr baseColWidth="10" defaultColWidth="17.44140625" defaultRowHeight="13.2"/>
  <cols>
    <col min="1" max="1" width="2.5546875" style="36" customWidth="1"/>
    <col min="2" max="2" width="10.5546875" style="34" bestFit="1" customWidth="1"/>
    <col min="3" max="3" width="16" style="36" customWidth="1"/>
    <col min="4" max="4" width="16.44140625" style="36" customWidth="1"/>
    <col min="5" max="5" width="12.44140625" style="36" customWidth="1"/>
    <col min="6" max="6" width="9.44140625" style="36" customWidth="1"/>
    <col min="7" max="7" width="1.5546875" style="36" customWidth="1"/>
    <col min="8" max="8" width="9.44140625" style="36" customWidth="1"/>
    <col min="9" max="18" width="8.44140625" style="36" bestFit="1" customWidth="1"/>
    <col min="19" max="16384" width="17.44140625" style="36"/>
  </cols>
  <sheetData>
    <row r="2" spans="2:9" ht="38.1" customHeight="1">
      <c r="B2" s="27" t="s">
        <v>75</v>
      </c>
      <c r="C2" s="46"/>
      <c r="D2" s="47"/>
      <c r="E2" s="47"/>
      <c r="F2" s="47"/>
      <c r="G2" s="47"/>
      <c r="H2" s="47"/>
    </row>
    <row r="3" spans="2:9">
      <c r="B3" s="43"/>
      <c r="C3" s="44"/>
      <c r="D3" s="45"/>
      <c r="E3" s="45"/>
      <c r="F3" s="45"/>
    </row>
    <row r="4" spans="2:9" s="48" customFormat="1">
      <c r="B4" s="34" t="s">
        <v>16</v>
      </c>
      <c r="C4" s="35" t="str">
        <f>Navn_anskaffelse</f>
        <v>KJØP AV NULLUTSLIPPSBILER</v>
      </c>
      <c r="D4" s="34"/>
      <c r="E4" s="34"/>
      <c r="F4" s="34"/>
    </row>
    <row r="5" spans="2:9">
      <c r="C5" s="34"/>
      <c r="D5" s="34"/>
      <c r="E5" s="34"/>
      <c r="F5" s="34"/>
    </row>
    <row r="6" spans="2:9">
      <c r="B6" s="34" t="s">
        <v>80</v>
      </c>
      <c r="D6" s="71">
        <v>0.5</v>
      </c>
      <c r="E6" s="34"/>
      <c r="F6" s="34"/>
    </row>
    <row r="7" spans="2:9">
      <c r="B7" s="34" t="s">
        <v>84</v>
      </c>
      <c r="D7" s="70">
        <v>10</v>
      </c>
      <c r="E7" s="34"/>
      <c r="F7" s="34"/>
    </row>
    <row r="8" spans="2:9">
      <c r="B8" s="34" t="s">
        <v>85</v>
      </c>
      <c r="D8" s="70">
        <f>+D7*D6</f>
        <v>5</v>
      </c>
      <c r="E8" s="34"/>
      <c r="F8" s="34"/>
    </row>
    <row r="9" spans="2:9">
      <c r="B9" s="34" t="s">
        <v>79</v>
      </c>
      <c r="D9" s="66">
        <f>MIN(D15:D19)</f>
        <v>1131745.6141129651</v>
      </c>
      <c r="E9" s="34"/>
      <c r="F9" s="34"/>
    </row>
    <row r="10" spans="2:9">
      <c r="B10" s="36"/>
    </row>
    <row r="11" spans="2:9">
      <c r="C11" s="31"/>
      <c r="D11" s="31"/>
      <c r="E11" s="31"/>
    </row>
    <row r="12" spans="2:9" s="4" customFormat="1" ht="26.4" customHeight="1">
      <c r="B12" s="40" t="s">
        <v>77</v>
      </c>
      <c r="C12" s="41" t="s">
        <v>5</v>
      </c>
      <c r="D12" s="42" t="s">
        <v>76</v>
      </c>
      <c r="E12" s="42" t="s">
        <v>81</v>
      </c>
      <c r="F12" s="42" t="s">
        <v>86</v>
      </c>
      <c r="H12" s="42" t="s">
        <v>78</v>
      </c>
      <c r="I12" s="36"/>
    </row>
    <row r="13" spans="2:9" ht="5.0999999999999996" customHeight="1">
      <c r="G13" s="4"/>
    </row>
    <row r="14" spans="2:9" s="2" customFormat="1" ht="20.25" customHeight="1">
      <c r="B14" s="72" t="s">
        <v>82</v>
      </c>
      <c r="C14" s="73"/>
      <c r="D14" s="74"/>
      <c r="E14" s="74"/>
      <c r="F14" s="76"/>
      <c r="G14" s="76"/>
      <c r="H14" s="76"/>
    </row>
    <row r="15" spans="2:9" s="31" customFormat="1">
      <c r="B15" s="62" t="str">
        <f>+'Planlegging og Evaluering'!B34</f>
        <v>Tilbud 1</v>
      </c>
      <c r="C15" s="62" t="str">
        <f>+'Planlegging og Evaluering'!C34</f>
        <v>Ford Focus Electric</v>
      </c>
      <c r="D15" s="33">
        <f>+'Planlegging og Evaluering'!H34</f>
        <v>1383310.3796961284</v>
      </c>
      <c r="E15" s="33">
        <f>+D15-$D$9</f>
        <v>251564.76558316336</v>
      </c>
      <c r="F15" s="69">
        <f>+$D$7-(E15/$D$9)*$D$7</f>
        <v>7.7771969032074955</v>
      </c>
      <c r="H15" s="68">
        <f>+F15*$D$6</f>
        <v>3.8885984516037477</v>
      </c>
    </row>
    <row r="16" spans="2:9" s="31" customFormat="1">
      <c r="B16" s="62" t="str">
        <f>+'Planlegging og Evaluering'!B35</f>
        <v>Tilbud 2</v>
      </c>
      <c r="C16" s="62" t="str">
        <f>+'Planlegging og Evaluering'!C35</f>
        <v>Opel Ampera-e</v>
      </c>
      <c r="D16" s="33">
        <f>+'Planlegging og Evaluering'!H35</f>
        <v>1554167.5818911009</v>
      </c>
      <c r="E16" s="33">
        <f>+D16-$D$9</f>
        <v>422421.96777813579</v>
      </c>
      <c r="F16" s="69">
        <f>+$D$7-(E16/$D$9)*$D$7</f>
        <v>6.2675184024528345</v>
      </c>
      <c r="H16" s="68">
        <f>+F16*$D$6</f>
        <v>3.1337592012264173</v>
      </c>
    </row>
    <row r="17" spans="2:9" s="31" customFormat="1">
      <c r="B17" s="62" t="str">
        <f>+'Planlegging og Evaluering'!B36</f>
        <v>Tilbud 3</v>
      </c>
      <c r="C17" s="62" t="str">
        <f>+'Planlegging og Evaluering'!C36</f>
        <v>Nissan Leaf</v>
      </c>
      <c r="D17" s="33">
        <f>+'Planlegging og Evaluering'!H36</f>
        <v>1131745.6141129651</v>
      </c>
      <c r="E17" s="33">
        <f>+D17-$D$9</f>
        <v>0</v>
      </c>
      <c r="F17" s="69">
        <f>+$D$7-(E17/$D$9)*$D$7</f>
        <v>10</v>
      </c>
      <c r="H17" s="68">
        <f>+F17*$D$6</f>
        <v>5</v>
      </c>
    </row>
    <row r="18" spans="2:9" s="31" customFormat="1">
      <c r="B18" s="62" t="str">
        <f>+'Planlegging og Evaluering'!B37</f>
        <v>Tilbud 4</v>
      </c>
      <c r="C18" s="62" t="str">
        <f>+'Planlegging og Evaluering'!C37</f>
        <v>Renault Zoe R90 Z.E. 40</v>
      </c>
      <c r="D18" s="33">
        <f>+'Planlegging og Evaluering'!H37</f>
        <v>1235544.6696387669</v>
      </c>
      <c r="E18" s="33">
        <f>+D18-$D$9</f>
        <v>103799.05552580184</v>
      </c>
      <c r="F18" s="69">
        <f>+$D$7-(E18/$D$9)*$D$7</f>
        <v>9.0828411064163301</v>
      </c>
      <c r="H18" s="68">
        <f>+F18*$D$6</f>
        <v>4.5414205532081651</v>
      </c>
    </row>
    <row r="19" spans="2:9" s="31" customFormat="1">
      <c r="B19" s="62" t="str">
        <f>+'Planlegging og Evaluering'!B38</f>
        <v>Tilbud 5</v>
      </c>
      <c r="C19" s="62" t="str">
        <f>+'Planlegging og Evaluering'!C38</f>
        <v>BMW i3 (22 og 33 kWh)</v>
      </c>
      <c r="D19" s="33">
        <f>+'Planlegging og Evaluering'!H38</f>
        <v>1883772.1298770064</v>
      </c>
      <c r="E19" s="33">
        <f>+D19-$D$9</f>
        <v>752026.51576404134</v>
      </c>
      <c r="F19" s="69">
        <f>+$D$7-(E19/$D$9)*$D$7</f>
        <v>3.3551629766777431</v>
      </c>
      <c r="H19" s="68">
        <f>+F19*$D$6</f>
        <v>1.6775814883388716</v>
      </c>
    </row>
    <row r="20" spans="2:9" s="31" customFormat="1">
      <c r="B20" s="62"/>
      <c r="C20" s="62"/>
      <c r="D20" s="63"/>
      <c r="E20" s="64"/>
      <c r="F20" s="64"/>
    </row>
    <row r="21" spans="2:9" ht="5.0999999999999996" customHeight="1">
      <c r="G21" s="4"/>
    </row>
    <row r="22" spans="2:9" s="2" customFormat="1" ht="20.25" customHeight="1">
      <c r="B22" s="72" t="s">
        <v>83</v>
      </c>
      <c r="C22" s="73"/>
      <c r="D22" s="74"/>
      <c r="E22" s="74"/>
      <c r="F22" s="75"/>
      <c r="G22" s="76"/>
      <c r="H22" s="76"/>
    </row>
    <row r="23" spans="2:9" s="31" customFormat="1">
      <c r="B23" s="62" t="str">
        <f>+'Planlegging og Evaluering'!B34</f>
        <v>Tilbud 1</v>
      </c>
      <c r="C23" s="62" t="str">
        <f>+'Planlegging og Evaluering'!C34</f>
        <v>Ford Focus Electric</v>
      </c>
      <c r="D23" s="50">
        <f>+'Planlegging og Evaluering'!H34</f>
        <v>1383310.3796961284</v>
      </c>
      <c r="E23" s="78">
        <f>+D23-$D$9</f>
        <v>251564.76558316336</v>
      </c>
      <c r="F23" s="69">
        <f>+($D$9/D23)*$D$7</f>
        <v>8.181429350378874</v>
      </c>
      <c r="G23" s="66"/>
      <c r="H23" s="77">
        <f>+F23*$D$6</f>
        <v>4.090714675189437</v>
      </c>
      <c r="I23" s="67"/>
    </row>
    <row r="24" spans="2:9" s="31" customFormat="1">
      <c r="B24" s="62" t="str">
        <f>+'Planlegging og Evaluering'!B35</f>
        <v>Tilbud 2</v>
      </c>
      <c r="C24" s="62" t="str">
        <f>+'Planlegging og Evaluering'!C35</f>
        <v>Opel Ampera-e</v>
      </c>
      <c r="D24" s="50">
        <f>+'Planlegging og Evaluering'!H35</f>
        <v>1554167.5818911009</v>
      </c>
      <c r="E24" s="78">
        <f>+D24-$D$9</f>
        <v>422421.96777813579</v>
      </c>
      <c r="F24" s="69">
        <f>+($D$9/D24)*$D$7</f>
        <v>7.2820050250685604</v>
      </c>
      <c r="G24" s="66"/>
      <c r="H24" s="77">
        <f>+F24*$D$6</f>
        <v>3.6410025125342802</v>
      </c>
      <c r="I24" s="67"/>
    </row>
    <row r="25" spans="2:9" s="31" customFormat="1">
      <c r="B25" s="62" t="str">
        <f>+'Planlegging og Evaluering'!B36</f>
        <v>Tilbud 3</v>
      </c>
      <c r="C25" s="62" t="str">
        <f>+'Planlegging og Evaluering'!C36</f>
        <v>Nissan Leaf</v>
      </c>
      <c r="D25" s="50">
        <f>+'Planlegging og Evaluering'!H36</f>
        <v>1131745.6141129651</v>
      </c>
      <c r="E25" s="50">
        <f>+D25-$D$9</f>
        <v>0</v>
      </c>
      <c r="F25" s="69">
        <f>+($D$9/D25)*$D$7</f>
        <v>10</v>
      </c>
      <c r="G25" s="66"/>
      <c r="H25" s="77">
        <f>+F25*$D$6</f>
        <v>5</v>
      </c>
      <c r="I25" s="67"/>
    </row>
    <row r="26" spans="2:9">
      <c r="B26" s="62" t="str">
        <f>+'Planlegging og Evaluering'!B37</f>
        <v>Tilbud 4</v>
      </c>
      <c r="C26" s="62" t="str">
        <f>+'Planlegging og Evaluering'!C37</f>
        <v>Renault Zoe R90 Z.E. 40</v>
      </c>
      <c r="D26" s="50">
        <f>+'Planlegging og Evaluering'!H37</f>
        <v>1235544.6696387669</v>
      </c>
      <c r="E26" s="78">
        <f>+D26-$D$9</f>
        <v>103799.05552580184</v>
      </c>
      <c r="F26" s="69">
        <f>+($D$9/D26)*$D$7</f>
        <v>9.1598923286508995</v>
      </c>
      <c r="G26" s="70"/>
      <c r="H26" s="77">
        <f>+F26*$D$6</f>
        <v>4.5799461643254498</v>
      </c>
      <c r="I26" s="67"/>
    </row>
    <row r="27" spans="2:9">
      <c r="B27" s="62" t="str">
        <f>+'Planlegging og Evaluering'!B38</f>
        <v>Tilbud 5</v>
      </c>
      <c r="C27" s="62" t="str">
        <f>+'Planlegging og Evaluering'!C38</f>
        <v>BMW i3 (22 og 33 kWh)</v>
      </c>
      <c r="D27" s="50">
        <f>+'Planlegging og Evaluering'!H38</f>
        <v>1883772.1298770064</v>
      </c>
      <c r="E27" s="78">
        <f>+D27-$D$9</f>
        <v>752026.51576404134</v>
      </c>
      <c r="F27" s="69">
        <f>+($D$9/D27)*$D$7</f>
        <v>6.0078689782232741</v>
      </c>
      <c r="G27" s="70"/>
      <c r="H27" s="77">
        <f>+F27*$D$6</f>
        <v>3.0039344891116371</v>
      </c>
      <c r="I27" s="67"/>
    </row>
    <row r="28" spans="2:9">
      <c r="B28" s="62"/>
      <c r="C28" s="62"/>
      <c r="E28" s="65"/>
      <c r="F28" s="65"/>
      <c r="I28" s="67"/>
    </row>
    <row r="29" spans="2:9">
      <c r="C29" s="34"/>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F17"/>
  <sheetViews>
    <sheetView showGridLines="0" showZeros="0" zoomScaleNormal="100" workbookViewId="0">
      <selection activeCell="E17" sqref="E17"/>
    </sheetView>
  </sheetViews>
  <sheetFormatPr baseColWidth="10" defaultColWidth="11.5546875" defaultRowHeight="13.8"/>
  <cols>
    <col min="1" max="1" width="3.44140625" style="15" customWidth="1"/>
    <col min="2" max="2" width="36.44140625" style="16" customWidth="1"/>
    <col min="3" max="3" width="2.5546875" style="15" customWidth="1"/>
    <col min="4" max="4" width="85.88671875" style="85" bestFit="1" customWidth="1"/>
    <col min="5" max="6" width="11.5546875" style="15" customWidth="1"/>
    <col min="7" max="16384" width="11.5546875" style="15"/>
  </cols>
  <sheetData>
    <row r="1" spans="1:6" ht="13.5" customHeight="1">
      <c r="A1" s="190"/>
      <c r="B1" s="201"/>
    </row>
    <row r="2" spans="1:6" s="2" customFormat="1" ht="38.1" customHeight="1">
      <c r="B2" s="250" t="str">
        <f>+[1]Forside!B2</f>
        <v>LIVSSYKLUSKOSTNADER I ANSKAFFELSER</v>
      </c>
      <c r="C2" s="89"/>
      <c r="D2" s="89"/>
    </row>
    <row r="3" spans="1:6">
      <c r="A3" s="25"/>
      <c r="B3" s="30"/>
      <c r="C3" s="25"/>
      <c r="D3" s="84"/>
    </row>
    <row r="4" spans="1:6">
      <c r="A4" s="25"/>
      <c r="B4" s="30"/>
      <c r="C4" s="25"/>
      <c r="D4" s="84"/>
    </row>
    <row r="5" spans="1:6" s="4" customFormat="1" ht="29.1" customHeight="1">
      <c r="B5" s="119" t="s">
        <v>57</v>
      </c>
      <c r="C5" s="243"/>
      <c r="D5" s="119" t="s">
        <v>123</v>
      </c>
      <c r="E5" s="15"/>
      <c r="F5" s="15"/>
    </row>
    <row r="6" spans="1:6" ht="5.0999999999999996" customHeight="1">
      <c r="A6" s="25"/>
      <c r="B6" s="251"/>
      <c r="C6" s="243"/>
      <c r="D6" s="252"/>
    </row>
    <row r="7" spans="1:6" ht="63" customHeight="1">
      <c r="B7" s="253" t="s">
        <v>67</v>
      </c>
      <c r="C7" s="251"/>
      <c r="D7" s="254" t="s">
        <v>174</v>
      </c>
    </row>
    <row r="8" spans="1:6" ht="90">
      <c r="A8" s="25"/>
      <c r="B8" s="253" t="s">
        <v>130</v>
      </c>
      <c r="C8" s="251"/>
      <c r="D8" s="254" t="s">
        <v>167</v>
      </c>
    </row>
    <row r="9" spans="1:6" ht="17.25" customHeight="1">
      <c r="A9" s="25"/>
      <c r="B9" s="253" t="s">
        <v>121</v>
      </c>
      <c r="C9" s="251"/>
      <c r="D9" s="254" t="s">
        <v>168</v>
      </c>
    </row>
    <row r="10" spans="1:6" ht="17.25" customHeight="1">
      <c r="A10" s="25"/>
      <c r="B10" s="253" t="s">
        <v>24</v>
      </c>
      <c r="C10" s="251"/>
      <c r="D10" s="254" t="s">
        <v>171</v>
      </c>
    </row>
    <row r="11" spans="1:6" ht="16.5" customHeight="1">
      <c r="A11" s="25"/>
      <c r="B11" s="253" t="s">
        <v>22</v>
      </c>
      <c r="C11" s="251"/>
      <c r="D11" s="254" t="s">
        <v>169</v>
      </c>
    </row>
    <row r="12" spans="1:6" ht="18.75" customHeight="1">
      <c r="A12" s="25"/>
      <c r="B12" s="253" t="s">
        <v>23</v>
      </c>
      <c r="C12" s="251"/>
      <c r="D12" s="255" t="s">
        <v>155</v>
      </c>
    </row>
    <row r="13" spans="1:6" ht="17.25" customHeight="1">
      <c r="A13" s="25"/>
      <c r="B13" s="253" t="s">
        <v>19</v>
      </c>
      <c r="C13" s="251"/>
      <c r="D13" s="254" t="s">
        <v>172</v>
      </c>
    </row>
    <row r="14" spans="1:6" ht="17.25" customHeight="1">
      <c r="A14" s="25"/>
      <c r="B14" s="253" t="s">
        <v>21</v>
      </c>
      <c r="C14" s="251"/>
      <c r="D14" s="254" t="s">
        <v>173</v>
      </c>
    </row>
    <row r="15" spans="1:6" ht="30.75" customHeight="1">
      <c r="A15" s="25"/>
      <c r="B15" s="253" t="s">
        <v>157</v>
      </c>
      <c r="C15" s="251"/>
      <c r="D15" s="254" t="s">
        <v>154</v>
      </c>
    </row>
    <row r="16" spans="1:6" ht="15">
      <c r="B16" s="251"/>
      <c r="C16" s="243"/>
      <c r="D16" s="252"/>
    </row>
    <row r="17" spans="2:4" ht="15">
      <c r="B17" s="251"/>
      <c r="C17" s="243"/>
      <c r="D17" s="252"/>
    </row>
  </sheetData>
  <sheetProtection algorithmName="SHA-512" hashValue="8DuqqfO4e4STc0D2nt7Nis3tZkc0SJv5BGDl4PzjjiGRchQ1Kp6pZ8mCYC6C6911DaeZhFFFFyp1hyPX1QcZ7w==" saltValue="1JOCZDZsHooy5ZTarqAT8g==" spinCount="100000" sheet="1" objects="1" scenarios="1"/>
  <pageMargins left="0.70866141732283472" right="0.70866141732283472" top="0.74803149606299213" bottom="0.74803149606299213" header="0.31496062992125984" footer="0.31496062992125984"/>
  <pageSetup paperSize="9" scale="86" fitToHeight="1100" orientation="landscape" r:id="rId1"/>
  <headerFooter>
    <oddFooter>&amp;L&amp;F&amp;C&amp;A&amp;RSide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K21"/>
  <sheetViews>
    <sheetView showGridLines="0" showZeros="0" topLeftCell="A10" zoomScale="130" zoomScaleNormal="130" workbookViewId="0">
      <selection activeCell="G11" sqref="G11"/>
    </sheetView>
  </sheetViews>
  <sheetFormatPr baseColWidth="10" defaultColWidth="11.5546875" defaultRowHeight="13.8"/>
  <cols>
    <col min="1" max="1" width="3.44140625" style="15" customWidth="1"/>
    <col min="2" max="2" width="5.88671875" style="16" customWidth="1"/>
    <col min="3" max="3" width="1.44140625" style="16" customWidth="1"/>
    <col min="4" max="4" width="2.5546875" style="15" customWidth="1"/>
    <col min="5" max="5" width="111.109375" style="15" customWidth="1"/>
    <col min="6" max="6" width="2.109375" style="15" customWidth="1"/>
    <col min="7" max="7" width="14" style="15" customWidth="1"/>
    <col min="8" max="8" width="0.5546875" style="15" customWidth="1"/>
    <col min="9" max="9" width="21.109375" style="15" customWidth="1"/>
    <col min="10" max="10" width="0.5546875" style="15" customWidth="1"/>
    <col min="11" max="11" width="14" style="15" customWidth="1"/>
    <col min="12" max="12" width="6.5546875" style="15" customWidth="1"/>
    <col min="13" max="16384" width="11.5546875" style="15"/>
  </cols>
  <sheetData>
    <row r="1" spans="1:11" ht="13.5" customHeight="1">
      <c r="A1" s="190"/>
    </row>
    <row r="2" spans="1:11" s="2" customFormat="1" ht="38.1" customHeight="1">
      <c r="B2" s="232" t="s">
        <v>149</v>
      </c>
      <c r="C2" s="89"/>
      <c r="D2" s="89"/>
      <c r="E2" s="89"/>
      <c r="F2" s="89"/>
      <c r="G2" s="89"/>
      <c r="H2" s="89"/>
      <c r="I2" s="89"/>
      <c r="J2" s="89"/>
      <c r="K2" s="89"/>
    </row>
    <row r="3" spans="1:11" ht="8.25" customHeight="1">
      <c r="A3" s="25"/>
      <c r="B3" s="30"/>
      <c r="C3" s="30"/>
      <c r="D3" s="25"/>
      <c r="E3" s="25"/>
    </row>
    <row r="4" spans="1:11" ht="32.1" customHeight="1">
      <c r="A4" s="25"/>
      <c r="B4" s="119" t="s">
        <v>68</v>
      </c>
      <c r="C4" s="251"/>
      <c r="D4" s="119" t="s">
        <v>69</v>
      </c>
      <c r="E4" s="119"/>
      <c r="F4" s="243"/>
      <c r="G4" s="119" t="s">
        <v>54</v>
      </c>
      <c r="H4" s="243"/>
      <c r="I4" s="119" t="s">
        <v>71</v>
      </c>
      <c r="J4" s="243"/>
      <c r="K4" s="119" t="s">
        <v>70</v>
      </c>
    </row>
    <row r="5" spans="1:11" ht="5.0999999999999996" customHeight="1">
      <c r="A5" s="25"/>
      <c r="B5" s="251"/>
      <c r="C5" s="251"/>
      <c r="D5" s="243"/>
      <c r="E5" s="243"/>
      <c r="F5" s="243"/>
      <c r="G5" s="243"/>
      <c r="H5" s="243"/>
      <c r="I5" s="243"/>
      <c r="J5" s="243"/>
      <c r="K5" s="243"/>
    </row>
    <row r="6" spans="1:11" ht="128.25" customHeight="1">
      <c r="A6" s="25"/>
      <c r="B6" s="161">
        <v>1</v>
      </c>
      <c r="C6" s="251"/>
      <c r="D6" s="278" t="s">
        <v>187</v>
      </c>
      <c r="E6" s="280"/>
      <c r="F6" s="243"/>
      <c r="G6" s="256" t="s">
        <v>58</v>
      </c>
      <c r="H6" s="243"/>
      <c r="I6" s="256" t="s">
        <v>13</v>
      </c>
      <c r="J6" s="243"/>
      <c r="K6" s="256"/>
    </row>
    <row r="7" spans="1:11" ht="155.25" customHeight="1">
      <c r="A7" s="25"/>
      <c r="B7" s="161">
        <v>2</v>
      </c>
      <c r="C7" s="251"/>
      <c r="D7" s="278" t="s">
        <v>188</v>
      </c>
      <c r="E7" s="280"/>
      <c r="F7" s="243"/>
      <c r="G7" s="256" t="s">
        <v>58</v>
      </c>
      <c r="H7" s="256"/>
      <c r="I7" s="256" t="s">
        <v>4</v>
      </c>
      <c r="J7" s="256"/>
      <c r="K7" s="256"/>
    </row>
    <row r="8" spans="1:11" ht="278.25" customHeight="1">
      <c r="A8" s="25"/>
      <c r="B8" s="161">
        <v>3</v>
      </c>
      <c r="C8" s="251"/>
      <c r="D8" s="278" t="s">
        <v>189</v>
      </c>
      <c r="E8" s="280"/>
      <c r="F8" s="243"/>
      <c r="G8" s="256" t="s">
        <v>59</v>
      </c>
      <c r="H8" s="256"/>
      <c r="I8" s="256"/>
      <c r="J8" s="256"/>
      <c r="K8" s="256"/>
    </row>
    <row r="9" spans="1:11" ht="219.75" customHeight="1">
      <c r="A9" s="25"/>
      <c r="B9" s="161">
        <v>4</v>
      </c>
      <c r="C9" s="251"/>
      <c r="D9" s="278" t="s">
        <v>190</v>
      </c>
      <c r="E9" s="280"/>
      <c r="F9" s="243"/>
      <c r="G9" s="256" t="s">
        <v>125</v>
      </c>
      <c r="H9" s="256"/>
      <c r="I9" s="256"/>
      <c r="J9" s="256"/>
      <c r="K9" s="256"/>
    </row>
    <row r="10" spans="1:11" ht="156.75" customHeight="1">
      <c r="A10" s="25"/>
      <c r="B10" s="161">
        <v>5</v>
      </c>
      <c r="C10" s="251"/>
      <c r="D10" s="278" t="s">
        <v>191</v>
      </c>
      <c r="E10" s="280"/>
      <c r="F10" s="243"/>
      <c r="G10" s="256" t="s">
        <v>58</v>
      </c>
      <c r="H10" s="256"/>
      <c r="I10" s="256" t="s">
        <v>72</v>
      </c>
      <c r="J10" s="256"/>
      <c r="K10" s="256"/>
    </row>
    <row r="11" spans="1:11" ht="186.75" customHeight="1">
      <c r="A11" s="25"/>
      <c r="B11" s="161">
        <v>6</v>
      </c>
      <c r="C11" s="251"/>
      <c r="D11" s="278" t="s">
        <v>200</v>
      </c>
      <c r="E11" s="280"/>
      <c r="F11" s="243"/>
      <c r="G11" s="256" t="s">
        <v>61</v>
      </c>
      <c r="H11" s="256"/>
      <c r="I11" s="256"/>
      <c r="J11" s="256"/>
      <c r="K11" s="256"/>
    </row>
    <row r="12" spans="1:11" ht="15">
      <c r="B12" s="251"/>
      <c r="C12" s="251"/>
      <c r="D12" s="243"/>
      <c r="E12" s="243"/>
      <c r="F12" s="243"/>
      <c r="G12" s="243"/>
      <c r="H12" s="243"/>
      <c r="I12" s="243"/>
      <c r="J12" s="243"/>
      <c r="K12" s="243"/>
    </row>
    <row r="13" spans="1:11" ht="176.1" customHeight="1">
      <c r="B13" s="278" t="s">
        <v>192</v>
      </c>
      <c r="C13" s="279"/>
      <c r="D13" s="279"/>
      <c r="E13" s="279"/>
      <c r="F13" s="279"/>
      <c r="G13" s="279"/>
      <c r="H13" s="279"/>
      <c r="I13" s="279"/>
      <c r="J13" s="279"/>
      <c r="K13" s="280"/>
    </row>
    <row r="14" spans="1:11" ht="15">
      <c r="B14" s="251"/>
      <c r="C14" s="251"/>
      <c r="D14" s="243"/>
      <c r="E14" s="243"/>
      <c r="F14" s="243"/>
      <c r="G14" s="243"/>
      <c r="H14" s="243"/>
      <c r="I14" s="243"/>
      <c r="J14" s="243"/>
      <c r="K14" s="243"/>
    </row>
    <row r="15" spans="1:11">
      <c r="C15" s="30"/>
    </row>
    <row r="16" spans="1:11">
      <c r="C16" s="30"/>
    </row>
    <row r="17" spans="3:3">
      <c r="C17" s="30"/>
    </row>
    <row r="18" spans="3:3">
      <c r="C18" s="30"/>
    </row>
    <row r="19" spans="3:3">
      <c r="C19" s="30"/>
    </row>
    <row r="20" spans="3:3">
      <c r="C20" s="30"/>
    </row>
    <row r="21" spans="3:3">
      <c r="C21" s="30"/>
    </row>
  </sheetData>
  <sheetProtection algorithmName="SHA-512" hashValue="QuGjOsknJrHBvskbp/tVgYPp9LeEi7FRXXi/ru8yJK/kOZ2R4gc+eg4Gc9OyW3gTi1KQnR2JX7xsUUOrIdORVg==" saltValue="vDc3sBslwmS6aCQIDNgfHQ==" spinCount="100000" sheet="1" objects="1" scenarios="1"/>
  <mergeCells count="7">
    <mergeCell ref="B13:K13"/>
    <mergeCell ref="D6:E6"/>
    <mergeCell ref="D7:E7"/>
    <mergeCell ref="D8:E8"/>
    <mergeCell ref="D9:E9"/>
    <mergeCell ref="D10:E10"/>
    <mergeCell ref="D11:E11"/>
  </mergeCells>
  <pageMargins left="0.70866141732283472" right="0.70866141732283472" top="0.74803149606299213" bottom="0.74803149606299213" header="0.31496062992125984" footer="0.31496062992125984"/>
  <pageSetup paperSize="9" scale="71" fitToHeight="1100" orientation="landscape" r:id="rId1"/>
  <headerFooter>
    <oddFooter>&amp;L&amp;F&amp;C&amp;A&amp;RSide &amp;P/&amp;N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0E6D8"/>
    <pageSetUpPr fitToPage="1"/>
  </sheetPr>
  <dimension ref="A1:Z77"/>
  <sheetViews>
    <sheetView showGridLines="0" showZeros="0" zoomScaleNormal="100" workbookViewId="0">
      <selection activeCell="B20" sqref="B20"/>
    </sheetView>
  </sheetViews>
  <sheetFormatPr baseColWidth="10" defaultColWidth="17.44140625" defaultRowHeight="13.8"/>
  <cols>
    <col min="1" max="1" width="3.44140625" style="2" customWidth="1"/>
    <col min="2" max="2" width="26.6640625" style="10" customWidth="1"/>
    <col min="3" max="3" width="17.88671875" style="2" customWidth="1"/>
    <col min="4" max="4" width="13.5546875" style="2" customWidth="1"/>
    <col min="5" max="5" width="11.5546875" style="2" customWidth="1"/>
    <col min="6" max="6" width="13.5546875" style="4" customWidth="1"/>
    <col min="7" max="7" width="12.5546875" style="2" customWidth="1"/>
    <col min="8" max="8" width="18" style="2" customWidth="1"/>
    <col min="9" max="9" width="2.88671875" style="2" customWidth="1"/>
    <col min="10" max="10" width="32.44140625" style="2" customWidth="1"/>
    <col min="11" max="24" width="8.44140625" style="2" bestFit="1" customWidth="1"/>
    <col min="25" max="16384" width="17.44140625" style="2"/>
  </cols>
  <sheetData>
    <row r="1" spans="2:13" ht="13.5" customHeight="1">
      <c r="B1" s="203"/>
    </row>
    <row r="2" spans="2:13" ht="38.1" customHeight="1">
      <c r="B2" s="89" t="s">
        <v>150</v>
      </c>
      <c r="C2" s="89"/>
      <c r="D2" s="89"/>
      <c r="E2" s="89"/>
      <c r="F2" s="89"/>
      <c r="G2" s="89"/>
      <c r="H2" s="89"/>
      <c r="I2" s="89"/>
      <c r="J2" s="89"/>
      <c r="K2" s="89"/>
      <c r="L2" s="89"/>
      <c r="M2" s="89"/>
    </row>
    <row r="3" spans="2:13" ht="5.0999999999999996" customHeight="1"/>
    <row r="4" spans="2:13" s="4" customFormat="1" ht="29.1" customHeight="1">
      <c r="B4" s="119" t="s">
        <v>13</v>
      </c>
      <c r="C4" s="90"/>
      <c r="D4" s="90"/>
      <c r="E4" s="90"/>
      <c r="F4" s="90"/>
      <c r="G4" s="90"/>
      <c r="H4" s="90"/>
    </row>
    <row r="5" spans="2:13">
      <c r="B5" s="93" t="s">
        <v>121</v>
      </c>
      <c r="C5" s="257">
        <v>0.04</v>
      </c>
      <c r="D5" s="95" t="s">
        <v>122</v>
      </c>
      <c r="E5" s="96"/>
      <c r="F5" s="96"/>
      <c r="G5" s="95"/>
      <c r="H5" s="95"/>
    </row>
    <row r="6" spans="2:13">
      <c r="B6" s="93" t="s">
        <v>24</v>
      </c>
      <c r="C6" s="163">
        <v>6</v>
      </c>
      <c r="D6" s="95" t="s">
        <v>107</v>
      </c>
      <c r="E6" s="96"/>
      <c r="F6" s="96"/>
      <c r="G6" s="95"/>
      <c r="H6" s="95"/>
    </row>
    <row r="7" spans="2:13">
      <c r="B7" s="93" t="s">
        <v>113</v>
      </c>
      <c r="C7" s="258">
        <v>2.5000000000000001E-2</v>
      </c>
      <c r="D7" s="95" t="s">
        <v>193</v>
      </c>
      <c r="E7" s="96"/>
      <c r="F7" s="96"/>
      <c r="G7" s="95"/>
      <c r="H7" s="95"/>
    </row>
    <row r="8" spans="2:13" ht="14.4" customHeight="1">
      <c r="B8" s="93"/>
      <c r="C8" s="94"/>
      <c r="D8" s="94"/>
      <c r="E8" s="95"/>
      <c r="F8" s="96"/>
      <c r="G8" s="95"/>
      <c r="H8" s="95"/>
    </row>
    <row r="9" spans="2:13" ht="5.0999999999999996" customHeight="1"/>
    <row r="10" spans="2:13" ht="27.6" customHeight="1">
      <c r="B10" s="119" t="s">
        <v>4</v>
      </c>
      <c r="C10" s="90"/>
      <c r="D10" s="90"/>
      <c r="E10" s="90"/>
      <c r="F10" s="90"/>
      <c r="G10" s="90"/>
      <c r="H10" s="90"/>
    </row>
    <row r="11" spans="2:13" s="4" customFormat="1" ht="28.95" customHeight="1">
      <c r="B11" s="195"/>
      <c r="C11" s="196" t="s">
        <v>102</v>
      </c>
      <c r="D11" s="196"/>
      <c r="E11" s="197"/>
      <c r="F11" s="198" t="s">
        <v>106</v>
      </c>
      <c r="G11" s="198" t="s">
        <v>166</v>
      </c>
      <c r="H11" s="198" t="s">
        <v>26</v>
      </c>
    </row>
    <row r="12" spans="2:13" s="3" customFormat="1" ht="14.4" customHeight="1">
      <c r="B12" s="93" t="s">
        <v>7</v>
      </c>
      <c r="C12" s="164" t="s">
        <v>131</v>
      </c>
      <c r="D12" s="164"/>
      <c r="E12" s="164"/>
      <c r="F12" s="165">
        <v>5</v>
      </c>
      <c r="G12" s="166">
        <v>250000</v>
      </c>
      <c r="H12" s="204">
        <f>G12*F12</f>
        <v>1250000</v>
      </c>
    </row>
    <row r="13" spans="2:13" s="3" customFormat="1" ht="14.4" customHeight="1">
      <c r="B13" s="93" t="s">
        <v>8</v>
      </c>
      <c r="C13" s="164" t="s">
        <v>132</v>
      </c>
      <c r="D13" s="164"/>
      <c r="E13" s="164"/>
      <c r="F13" s="165">
        <v>5</v>
      </c>
      <c r="G13" s="166">
        <v>15000</v>
      </c>
      <c r="H13" s="204">
        <f>G13*F13</f>
        <v>75000</v>
      </c>
    </row>
    <row r="14" spans="2:13" s="3" customFormat="1" ht="14.4" customHeight="1">
      <c r="B14" s="93" t="s">
        <v>9</v>
      </c>
      <c r="C14" s="167" t="s">
        <v>133</v>
      </c>
      <c r="D14" s="164"/>
      <c r="E14" s="164"/>
      <c r="F14" s="165"/>
      <c r="G14" s="166"/>
      <c r="H14" s="204">
        <f>G14*F14</f>
        <v>0</v>
      </c>
    </row>
    <row r="15" spans="2:13" s="3" customFormat="1" ht="15" customHeight="1">
      <c r="B15" s="97" t="s">
        <v>14</v>
      </c>
      <c r="C15" s="101"/>
      <c r="D15" s="101"/>
      <c r="E15" s="101"/>
      <c r="F15" s="102"/>
      <c r="G15" s="106"/>
      <c r="H15" s="205">
        <f>SUM(H12:H14)</f>
        <v>1325000</v>
      </c>
    </row>
    <row r="16" spans="2:13" s="3" customFormat="1" ht="29.4" customHeight="1">
      <c r="B16" s="93"/>
      <c r="C16" s="95" t="s">
        <v>102</v>
      </c>
      <c r="D16" s="95"/>
      <c r="E16" s="95"/>
      <c r="F16" s="110" t="s">
        <v>106</v>
      </c>
      <c r="G16" s="198" t="s">
        <v>166</v>
      </c>
      <c r="H16" s="204"/>
    </row>
    <row r="17" spans="2:8" s="3" customFormat="1" ht="14.4" customHeight="1">
      <c r="B17" s="93" t="s">
        <v>177</v>
      </c>
      <c r="C17" s="164" t="s">
        <v>134</v>
      </c>
      <c r="D17" s="164"/>
      <c r="E17" s="164"/>
      <c r="F17" s="165">
        <v>5</v>
      </c>
      <c r="G17" s="168">
        <v>8000</v>
      </c>
      <c r="H17" s="204">
        <f>G17*F17</f>
        <v>40000</v>
      </c>
    </row>
    <row r="18" spans="2:8" s="3" customFormat="1" ht="14.4" customHeight="1">
      <c r="B18" s="93" t="s">
        <v>178</v>
      </c>
      <c r="C18" s="164" t="s">
        <v>135</v>
      </c>
      <c r="D18" s="164"/>
      <c r="E18" s="164"/>
      <c r="F18" s="165">
        <v>5</v>
      </c>
      <c r="G18" s="166">
        <v>7500</v>
      </c>
      <c r="H18" s="204">
        <f>G18*F18</f>
        <v>37500</v>
      </c>
    </row>
    <row r="19" spans="2:8" s="3" customFormat="1" ht="14.4" customHeight="1">
      <c r="B19" s="93" t="s">
        <v>182</v>
      </c>
      <c r="C19" s="164" t="s">
        <v>136</v>
      </c>
      <c r="D19" s="164"/>
      <c r="E19" s="164"/>
      <c r="F19" s="165">
        <f>+$F$12*1400*2.5</f>
        <v>17500</v>
      </c>
      <c r="G19" s="169">
        <v>0.96</v>
      </c>
      <c r="H19" s="204">
        <f>G19*F19</f>
        <v>16800</v>
      </c>
    </row>
    <row r="20" spans="2:8" s="3" customFormat="1" ht="14.4" customHeight="1">
      <c r="B20" s="93" t="s">
        <v>180</v>
      </c>
      <c r="C20" s="167" t="s">
        <v>137</v>
      </c>
      <c r="D20" s="164"/>
      <c r="E20" s="164"/>
      <c r="F20" s="165">
        <v>5</v>
      </c>
      <c r="G20" s="166">
        <v>455</v>
      </c>
      <c r="H20" s="204">
        <f>G20*F20</f>
        <v>2275</v>
      </c>
    </row>
    <row r="21" spans="2:8" s="3" customFormat="1" ht="14.4" customHeight="1">
      <c r="B21" s="93" t="s">
        <v>181</v>
      </c>
      <c r="C21" s="167" t="s">
        <v>138</v>
      </c>
      <c r="D21" s="164"/>
      <c r="E21" s="164"/>
      <c r="F21" s="165">
        <v>5</v>
      </c>
      <c r="G21" s="166">
        <v>0</v>
      </c>
      <c r="H21" s="204">
        <f>G21*F21</f>
        <v>0</v>
      </c>
    </row>
    <row r="22" spans="2:8" s="3" customFormat="1" ht="15" customHeight="1">
      <c r="B22" s="97" t="s">
        <v>15</v>
      </c>
      <c r="C22" s="101"/>
      <c r="D22" s="101"/>
      <c r="E22" s="102"/>
      <c r="F22" s="105"/>
      <c r="G22" s="101"/>
      <c r="H22" s="205">
        <f>SUM(H17:H21)</f>
        <v>96575</v>
      </c>
    </row>
    <row r="23" spans="2:8" s="3" customFormat="1" ht="15" customHeight="1">
      <c r="B23" s="97"/>
      <c r="C23" s="101"/>
      <c r="D23" s="101"/>
      <c r="E23" s="102"/>
      <c r="F23" s="105"/>
      <c r="G23" s="101"/>
      <c r="H23" s="205"/>
    </row>
    <row r="24" spans="2:8" s="3" customFormat="1" ht="15" customHeight="1">
      <c r="B24" s="97" t="s">
        <v>158</v>
      </c>
      <c r="C24" s="164" t="s">
        <v>147</v>
      </c>
      <c r="D24" s="164"/>
      <c r="E24" s="164"/>
      <c r="F24" s="165">
        <f>+F12</f>
        <v>5</v>
      </c>
      <c r="G24" s="170">
        <f>-G12/Levetid</f>
        <v>-41666.666666666664</v>
      </c>
      <c r="H24" s="204">
        <f>G24*F24</f>
        <v>-208333.33333333331</v>
      </c>
    </row>
    <row r="25" spans="2:8" s="3" customFormat="1" ht="15" customHeight="1">
      <c r="B25" s="97"/>
      <c r="C25" s="97"/>
      <c r="D25" s="97"/>
      <c r="E25" s="97"/>
      <c r="F25" s="97"/>
      <c r="G25" s="97"/>
      <c r="H25" s="205"/>
    </row>
    <row r="26" spans="2:8" s="3" customFormat="1" ht="15" customHeight="1">
      <c r="B26" s="97"/>
      <c r="C26" s="101"/>
      <c r="D26" s="101"/>
      <c r="E26" s="102"/>
      <c r="F26" s="103"/>
      <c r="G26" s="103" t="s">
        <v>90</v>
      </c>
      <c r="H26" s="206">
        <f>SUM(Motor!Z50:Z52)</f>
        <v>1325000</v>
      </c>
    </row>
    <row r="27" spans="2:8" s="3" customFormat="1" ht="13.35" customHeight="1">
      <c r="B27" s="93"/>
      <c r="C27" s="95"/>
      <c r="D27" s="95"/>
      <c r="E27" s="104"/>
      <c r="F27" s="103"/>
      <c r="G27" s="103" t="s">
        <v>91</v>
      </c>
      <c r="H27" s="206">
        <f>SUM(Motor!Z53:Z57)</f>
        <v>506259.36694027879</v>
      </c>
    </row>
    <row r="28" spans="2:8" s="3" customFormat="1" ht="13.35" customHeight="1">
      <c r="B28" s="93"/>
      <c r="C28" s="95"/>
      <c r="D28" s="95"/>
      <c r="E28" s="104"/>
      <c r="F28" s="103"/>
      <c r="G28" s="103" t="s">
        <v>120</v>
      </c>
      <c r="H28" s="206">
        <f>+Motor!Z58</f>
        <v>-164648.85952711367</v>
      </c>
    </row>
    <row r="29" spans="2:8" ht="13.35" customHeight="1">
      <c r="B29" s="98"/>
      <c r="C29" s="98"/>
      <c r="D29" s="98"/>
      <c r="E29" s="98"/>
      <c r="F29" s="100"/>
      <c r="G29" s="100" t="s">
        <v>117</v>
      </c>
      <c r="H29" s="224">
        <f>+Motor!Z27</f>
        <v>1666610.5074131652</v>
      </c>
    </row>
    <row r="30" spans="2:8" ht="13.35" customHeight="1">
      <c r="B30" s="98"/>
      <c r="C30" s="98"/>
      <c r="D30" s="98"/>
      <c r="E30" s="98"/>
      <c r="F30" s="100"/>
      <c r="G30" s="100" t="s">
        <v>128</v>
      </c>
      <c r="H30" s="207">
        <f>Motor!Z46</f>
        <v>1696116.6666666667</v>
      </c>
    </row>
    <row r="31" spans="2:8" ht="5.0999999999999996" customHeight="1"/>
    <row r="32" spans="2:8" s="4" customFormat="1" ht="27.6" customHeight="1">
      <c r="B32" s="119" t="s">
        <v>66</v>
      </c>
      <c r="C32" s="90"/>
      <c r="D32" s="90"/>
      <c r="E32" s="90"/>
      <c r="F32" s="90"/>
      <c r="G32" s="90"/>
      <c r="H32" s="90"/>
    </row>
    <row r="33" spans="1:26" ht="28.35" customHeight="1">
      <c r="B33" s="107"/>
      <c r="C33" s="108"/>
      <c r="D33" s="109" t="s">
        <v>114</v>
      </c>
      <c r="E33" s="109" t="s">
        <v>115</v>
      </c>
      <c r="F33" s="109" t="s">
        <v>116</v>
      </c>
      <c r="G33" s="110" t="s">
        <v>20</v>
      </c>
      <c r="H33" s="110" t="s">
        <v>92</v>
      </c>
    </row>
    <row r="34" spans="1:26">
      <c r="B34" s="191" t="s">
        <v>1</v>
      </c>
      <c r="C34" s="192" t="str">
        <f>'Tilbud 1'!$C$5</f>
        <v>Ford Focus Electric</v>
      </c>
      <c r="D34" s="174">
        <f>+Motor!E28</f>
        <v>1295000</v>
      </c>
      <c r="E34" s="174">
        <f>SUM(Motor!F28:Y28)-F34</f>
        <v>258886.59816621826</v>
      </c>
      <c r="F34" s="174">
        <f>SUM(Motor!E76:Y76)</f>
        <v>-170576.21847008978</v>
      </c>
      <c r="G34" s="174">
        <f>RANK(H34,$H$34:$H$40,1)</f>
        <v>3</v>
      </c>
      <c r="H34" s="193">
        <f>+Motor!Z28</f>
        <v>1383310.3796961284</v>
      </c>
    </row>
    <row r="35" spans="1:26" s="4" customFormat="1">
      <c r="A35" s="2"/>
      <c r="B35" s="191" t="s">
        <v>2</v>
      </c>
      <c r="C35" s="192" t="str">
        <f>'Tilbud 2'!$C$5</f>
        <v>Opel Ampera-e</v>
      </c>
      <c r="D35" s="174">
        <f>+Motor!E29</f>
        <v>1449500</v>
      </c>
      <c r="E35" s="174">
        <f>SUM(Motor!F29:Y29)-F35</f>
        <v>295594.39939874172</v>
      </c>
      <c r="F35" s="174">
        <f>SUM(Motor!E91:Y91)</f>
        <v>-190926.81750764101</v>
      </c>
      <c r="G35" s="174">
        <f>RANK(H35,$H$34:$H$40,1)</f>
        <v>4</v>
      </c>
      <c r="H35" s="193">
        <f>+Motor!Z29</f>
        <v>1554167.5818911009</v>
      </c>
    </row>
    <row r="36" spans="1:26" s="4" customFormat="1">
      <c r="A36" s="2"/>
      <c r="B36" s="191" t="s">
        <v>3</v>
      </c>
      <c r="C36" s="192" t="str">
        <f>'Tilbud 3'!$C$5</f>
        <v>Nissan Leaf</v>
      </c>
      <c r="D36" s="174">
        <f>+Motor!E30</f>
        <v>1213910.3534548138</v>
      </c>
      <c r="E36" s="174">
        <f>SUM(Motor!F30:Y30)-F36</f>
        <v>52840.739516003217</v>
      </c>
      <c r="F36" s="174">
        <f>SUM(Motor!E106:Y106)</f>
        <v>-135005.47885785214</v>
      </c>
      <c r="G36" s="174">
        <f>RANK(H36,$H$34:$H$40,1)</f>
        <v>1</v>
      </c>
      <c r="H36" s="193">
        <f>+Motor!Z30</f>
        <v>1131745.6141129651</v>
      </c>
    </row>
    <row r="37" spans="1:26" s="4" customFormat="1">
      <c r="A37" s="2"/>
      <c r="B37" s="191" t="s">
        <v>10</v>
      </c>
      <c r="C37" s="192" t="str">
        <f>'Tilbud 4'!$C$5</f>
        <v>Renault Zoe R90 Z.E. 40</v>
      </c>
      <c r="D37" s="174">
        <f>+Motor!E31</f>
        <v>1147000</v>
      </c>
      <c r="E37" s="174">
        <f>SUM(Motor!F31:Y31)-F37</f>
        <v>239626.46314084646</v>
      </c>
      <c r="F37" s="174">
        <f>SUM(Motor!E121:Y121)</f>
        <v>-151081.79350207953</v>
      </c>
      <c r="G37" s="174">
        <f>RANK(H37,$H$34:$H$40,1)</f>
        <v>2</v>
      </c>
      <c r="H37" s="193">
        <f>+Motor!Z31</f>
        <v>1235544.6696387669</v>
      </c>
    </row>
    <row r="38" spans="1:26" s="4" customFormat="1">
      <c r="A38" s="2"/>
      <c r="B38" s="191" t="s">
        <v>12</v>
      </c>
      <c r="C38" s="192" t="str">
        <f>'Tilbud 5'!$C$5</f>
        <v>BMW i3 (22 og 33 kWh)</v>
      </c>
      <c r="D38" s="174">
        <f>+Motor!E32</f>
        <v>1780000</v>
      </c>
      <c r="E38" s="174">
        <f>SUM(Motor!F32:Y32)-F38</f>
        <v>338232.10584361665</v>
      </c>
      <c r="F38" s="174">
        <f>SUM(Motor!E136:Z136)</f>
        <v>-234459.9759666099</v>
      </c>
      <c r="G38" s="174">
        <f>RANK(H38,$H$34:$H$40,1)</f>
        <v>5</v>
      </c>
      <c r="H38" s="193">
        <f>+Motor!Z32</f>
        <v>1883772.1298770064</v>
      </c>
    </row>
    <row r="39" spans="1:26" s="4" customFormat="1">
      <c r="A39" s="2"/>
      <c r="B39" s="191"/>
      <c r="C39" s="192"/>
      <c r="D39" s="174"/>
      <c r="E39" s="174"/>
      <c r="F39" s="174"/>
      <c r="G39" s="174"/>
      <c r="H39" s="193"/>
    </row>
    <row r="40" spans="1:26" s="4" customFormat="1">
      <c r="A40" s="2"/>
      <c r="B40" s="191"/>
      <c r="C40" s="192"/>
      <c r="D40" s="174"/>
      <c r="E40" s="174"/>
      <c r="F40" s="174"/>
      <c r="G40" s="174"/>
      <c r="H40" s="193"/>
    </row>
    <row r="41" spans="1:26" s="4" customFormat="1" ht="5.0999999999999996" customHeight="1">
      <c r="A41" s="2"/>
      <c r="B41" s="11"/>
      <c r="C41" s="3"/>
      <c r="D41" s="3"/>
      <c r="E41" s="3"/>
      <c r="F41" s="3"/>
      <c r="G41" s="6"/>
      <c r="H41" s="17"/>
    </row>
    <row r="42" spans="1:26" s="4" customFormat="1" ht="26.1" customHeight="1">
      <c r="B42" s="119" t="s">
        <v>11</v>
      </c>
      <c r="C42" s="90"/>
      <c r="D42" s="90"/>
      <c r="E42" s="90"/>
      <c r="F42" s="90"/>
      <c r="G42" s="90"/>
      <c r="H42" s="90"/>
      <c r="I42" s="2"/>
    </row>
    <row r="43" spans="1:26" ht="5.0999999999999996" customHeight="1"/>
    <row r="44" spans="1:26" ht="14.4">
      <c r="B44" s="12"/>
      <c r="C44" s="3"/>
      <c r="D44" s="3"/>
      <c r="E44" s="6"/>
      <c r="F44" s="6"/>
      <c r="G44" s="6"/>
      <c r="H44" s="6"/>
      <c r="I44" s="6"/>
      <c r="J44" s="6"/>
      <c r="K44" s="6"/>
      <c r="L44" s="6"/>
      <c r="M44" s="6"/>
      <c r="N44" s="6"/>
      <c r="O44" s="6"/>
      <c r="P44" s="6"/>
      <c r="Q44" s="6"/>
      <c r="R44" s="6"/>
      <c r="S44" s="6"/>
      <c r="T44" s="6"/>
      <c r="U44" s="6"/>
      <c r="V44" s="6"/>
      <c r="W44" s="6"/>
      <c r="X44" s="6"/>
      <c r="Y44" s="3"/>
      <c r="Z44" s="3"/>
    </row>
    <row r="45" spans="1:26" ht="14.4">
      <c r="B45" s="12"/>
      <c r="C45" s="3"/>
      <c r="D45" s="3"/>
      <c r="E45" s="3"/>
      <c r="F45" s="13"/>
      <c r="G45" s="3"/>
      <c r="H45" s="3"/>
      <c r="I45" s="3"/>
      <c r="J45" s="3"/>
      <c r="K45" s="3"/>
      <c r="L45" s="3"/>
      <c r="M45" s="3"/>
      <c r="N45" s="3"/>
      <c r="O45" s="3"/>
      <c r="P45" s="3"/>
      <c r="Q45" s="3"/>
      <c r="R45" s="3"/>
      <c r="S45" s="3"/>
      <c r="T45" s="3"/>
      <c r="U45" s="3"/>
      <c r="V45" s="3"/>
      <c r="W45" s="3"/>
      <c r="X45" s="3"/>
      <c r="Y45" s="3"/>
      <c r="Z45" s="3"/>
    </row>
    <row r="46" spans="1:26" ht="14.4">
      <c r="B46" s="12"/>
      <c r="E46" s="8"/>
      <c r="F46" s="14"/>
      <c r="G46" s="8"/>
      <c r="H46" s="8"/>
      <c r="I46" s="8"/>
      <c r="J46" s="8"/>
      <c r="K46" s="8"/>
      <c r="L46" s="8"/>
      <c r="M46" s="8"/>
      <c r="N46" s="8"/>
      <c r="O46" s="8"/>
      <c r="P46" s="8"/>
      <c r="Q46" s="8"/>
      <c r="R46" s="8"/>
      <c r="S46" s="8"/>
      <c r="T46" s="8"/>
      <c r="U46" s="8"/>
      <c r="V46" s="8"/>
      <c r="W46" s="8"/>
      <c r="X46" s="8"/>
    </row>
    <row r="47" spans="1:26" ht="14.4">
      <c r="B47" s="12"/>
    </row>
    <row r="49" spans="2:2" s="2" customFormat="1" ht="14.4">
      <c r="B49" s="12"/>
    </row>
    <row r="51" spans="2:2" s="2" customFormat="1" ht="14.4">
      <c r="B51" s="12"/>
    </row>
    <row r="53" spans="2:2" s="2" customFormat="1" ht="14.4">
      <c r="B53" s="12"/>
    </row>
    <row r="59" spans="2:2" s="2" customFormat="1" ht="7.5" customHeight="1">
      <c r="B59" s="10"/>
    </row>
    <row r="76" spans="2:6" ht="5.0999999999999996" customHeight="1">
      <c r="B76" s="2"/>
      <c r="F76" s="2"/>
    </row>
    <row r="77" spans="2:6" ht="7.5" customHeight="1"/>
  </sheetData>
  <sheetProtection algorithmName="SHA-512" hashValue="FwXBF2WHLujDIxT1bw/vwgz94JUS0og8R3Nmvr12dWfYJd4V8EQua/dmtq+9omS2kg2bdDmEwrNj4YQrWx/K6w==" saltValue="bb6eUxHur5qoiMOILx3vUA==" spinCount="100000" sheet="1" objects="1" scenarios="1"/>
  <conditionalFormatting sqref="G34:G38 G41">
    <cfRule type="cellIs" dxfId="2" priority="3" operator="equal">
      <formula>1</formula>
    </cfRule>
  </conditionalFormatting>
  <conditionalFormatting sqref="G39">
    <cfRule type="cellIs" dxfId="1" priority="2" operator="equal">
      <formula>1</formula>
    </cfRule>
  </conditionalFormatting>
  <conditionalFormatting sqref="G40">
    <cfRule type="cellIs" dxfId="0" priority="1" operator="equal">
      <formula>1</formula>
    </cfRule>
  </conditionalFormatting>
  <pageMargins left="0.70866141732283472" right="0.70866141732283472" top="0.74803149606299213" bottom="0.74803149606299213" header="0.31496062992125984" footer="0.31496062992125984"/>
  <pageSetup paperSize="9" scale="32" orientation="landscape" r:id="rId1"/>
  <headerFooter>
    <oddFooter>&amp;L&amp;F&amp;C&amp;A&amp;Rside &amp;P/&amp;N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rgb="FF00CCFF"/>
    <pageSetUpPr fitToPage="1"/>
  </sheetPr>
  <dimension ref="A1:Z67"/>
  <sheetViews>
    <sheetView showGridLines="0" showZeros="0" zoomScaleNormal="100" workbookViewId="0">
      <selection activeCell="D18" sqref="D18:E18"/>
    </sheetView>
  </sheetViews>
  <sheetFormatPr baseColWidth="10" defaultColWidth="17.44140625" defaultRowHeight="13.2"/>
  <cols>
    <col min="1" max="1" width="3.44140625" style="36" customWidth="1"/>
    <col min="2" max="2" width="26.88671875" style="34" customWidth="1"/>
    <col min="3" max="3" width="49.109375" style="36" customWidth="1"/>
    <col min="4" max="5" width="16.44140625" style="36" customWidth="1"/>
    <col min="6" max="6" width="16.5546875" style="36" customWidth="1"/>
    <col min="7" max="25" width="13.88671875" style="36" customWidth="1"/>
    <col min="26" max="16384" width="17.44140625" style="36"/>
  </cols>
  <sheetData>
    <row r="1" spans="2:10" ht="13.5" customHeight="1"/>
    <row r="2" spans="2:10" ht="38.1" customHeight="1">
      <c r="B2" s="89" t="s">
        <v>161</v>
      </c>
      <c r="C2" s="89"/>
      <c r="D2" s="89"/>
      <c r="E2" s="89"/>
      <c r="F2" s="89"/>
    </row>
    <row r="3" spans="2:10">
      <c r="B3" s="43"/>
      <c r="C3" s="44"/>
      <c r="D3" s="45"/>
      <c r="E3" s="45"/>
      <c r="F3" s="45"/>
    </row>
    <row r="4" spans="2:10" s="48" customFormat="1">
      <c r="B4" s="229" t="s">
        <v>98</v>
      </c>
      <c r="C4" s="291" t="str">
        <f>Navn_anskaffelse</f>
        <v>KJØP AV NULLUTSLIPPSBILER</v>
      </c>
      <c r="D4" s="291"/>
      <c r="E4" s="291"/>
      <c r="F4" s="291"/>
    </row>
    <row r="5" spans="2:10">
      <c r="B5" s="208" t="s">
        <v>99</v>
      </c>
      <c r="C5" s="208" t="s">
        <v>156</v>
      </c>
      <c r="D5" s="209"/>
      <c r="E5" s="209"/>
      <c r="F5" s="209"/>
    </row>
    <row r="6" spans="2:10">
      <c r="C6" s="34"/>
      <c r="D6" s="34"/>
      <c r="E6" s="34"/>
      <c r="F6" s="34"/>
    </row>
    <row r="7" spans="2:10">
      <c r="C7" s="34"/>
      <c r="D7" s="34"/>
      <c r="E7" s="34"/>
      <c r="F7" s="34"/>
    </row>
    <row r="8" spans="2:10">
      <c r="C8" s="34"/>
      <c r="D8" s="34"/>
      <c r="E8" s="34"/>
      <c r="F8" s="34"/>
    </row>
    <row r="10" spans="2:10">
      <c r="C10" s="31"/>
      <c r="D10" s="31"/>
      <c r="E10" s="31"/>
    </row>
    <row r="11" spans="2:10" s="4" customFormat="1" ht="30.75" customHeight="1">
      <c r="B11" s="90" t="s">
        <v>6</v>
      </c>
      <c r="C11" s="90" t="s">
        <v>5</v>
      </c>
      <c r="D11" s="90" t="s">
        <v>0</v>
      </c>
      <c r="E11" s="200" t="s">
        <v>166</v>
      </c>
      <c r="F11" s="90"/>
      <c r="G11" s="36"/>
      <c r="H11" s="36"/>
      <c r="I11" s="36"/>
      <c r="J11" s="36"/>
    </row>
    <row r="12" spans="2:10" ht="5.0999999999999996" customHeight="1">
      <c r="B12" s="114"/>
      <c r="C12" s="111"/>
      <c r="D12" s="111"/>
      <c r="E12" s="111"/>
      <c r="F12" s="111"/>
    </row>
    <row r="13" spans="2:10" s="31" customFormat="1">
      <c r="B13" s="93" t="s">
        <v>7</v>
      </c>
      <c r="C13" s="171" t="str">
        <f>'Planlegging og Evaluering'!C12</f>
        <v>Bil med sommer og vinterdekk</v>
      </c>
      <c r="D13" s="172">
        <f>'Planlegging og Evaluering'!F12</f>
        <v>5</v>
      </c>
      <c r="E13" s="173">
        <f>'Planlegging og Evaluering'!G12</f>
        <v>250000</v>
      </c>
      <c r="F13" s="112">
        <f>+E13*D13</f>
        <v>1250000</v>
      </c>
      <c r="I13" s="36"/>
      <c r="J13" s="36"/>
    </row>
    <row r="14" spans="2:10" s="31" customFormat="1">
      <c r="B14" s="93" t="s">
        <v>8</v>
      </c>
      <c r="C14" s="171" t="str">
        <f>'Planlegging og Evaluering'!C13</f>
        <v>Ekstrautstyr: automatgir og ryggesensor</v>
      </c>
      <c r="D14" s="172">
        <f>'Planlegging og Evaluering'!F13</f>
        <v>5</v>
      </c>
      <c r="E14" s="173">
        <f>'Planlegging og Evaluering'!G13</f>
        <v>15000</v>
      </c>
      <c r="F14" s="112">
        <f>+E14*D14</f>
        <v>75000</v>
      </c>
      <c r="I14" s="36"/>
      <c r="J14" s="36"/>
    </row>
    <row r="15" spans="2:10" s="31" customFormat="1">
      <c r="B15" s="93" t="s">
        <v>9</v>
      </c>
      <c r="C15" s="171" t="str">
        <f>'Planlegging og Evaluering'!C14</f>
        <v>Andre investeringskostnader</v>
      </c>
      <c r="D15" s="172">
        <f>'Planlegging og Evaluering'!F14</f>
        <v>0</v>
      </c>
      <c r="E15" s="173">
        <f>'Planlegging og Evaluering'!G14</f>
        <v>0</v>
      </c>
      <c r="F15" s="112">
        <f>+E15*D15</f>
        <v>0</v>
      </c>
      <c r="I15" s="36"/>
      <c r="J15" s="36"/>
    </row>
    <row r="16" spans="2:10" s="31" customFormat="1" ht="13.8" thickBot="1">
      <c r="B16" s="97" t="s">
        <v>14</v>
      </c>
      <c r="C16" s="174"/>
      <c r="D16" s="174"/>
      <c r="E16" s="175"/>
      <c r="F16" s="113">
        <f>SUM(F13:F15)</f>
        <v>1325000</v>
      </c>
      <c r="I16" s="36"/>
      <c r="J16" s="36"/>
    </row>
    <row r="17" spans="2:25" s="31" customFormat="1" ht="13.8" thickTop="1">
      <c r="B17" s="93"/>
      <c r="C17" s="174"/>
      <c r="D17" s="174"/>
      <c r="E17" s="175"/>
      <c r="F17" s="95"/>
      <c r="I17" s="36"/>
      <c r="J17" s="36"/>
    </row>
    <row r="18" spans="2:25" s="31" customFormat="1">
      <c r="B18" s="93" t="s">
        <v>177</v>
      </c>
      <c r="C18" s="171" t="str">
        <f>'Planlegging og Evaluering'!C17</f>
        <v>Forsikring</v>
      </c>
      <c r="D18" s="172">
        <f>'Planlegging og Evaluering'!F17</f>
        <v>5</v>
      </c>
      <c r="E18" s="173">
        <f>'Planlegging og Evaluering'!G17</f>
        <v>8000</v>
      </c>
      <c r="F18" s="112">
        <f>+E18*D18</f>
        <v>40000</v>
      </c>
      <c r="I18" s="36"/>
      <c r="J18" s="36"/>
    </row>
    <row r="19" spans="2:25" s="31" customFormat="1">
      <c r="B19" s="93" t="s">
        <v>178</v>
      </c>
      <c r="C19" s="171" t="str">
        <f>'Planlegging og Evaluering'!C18</f>
        <v>Reparasjon og vedlikehold</v>
      </c>
      <c r="D19" s="172">
        <f>'Planlegging og Evaluering'!F18</f>
        <v>5</v>
      </c>
      <c r="E19" s="173">
        <f>'Planlegging og Evaluering'!G18</f>
        <v>7500</v>
      </c>
      <c r="F19" s="112">
        <f>+E19*D19</f>
        <v>37500</v>
      </c>
      <c r="I19" s="36"/>
      <c r="J19" s="36"/>
    </row>
    <row r="20" spans="2:25" s="31" customFormat="1">
      <c r="B20" s="93" t="s">
        <v>179</v>
      </c>
      <c r="C20" s="171" t="str">
        <f>'Planlegging og Evaluering'!C19</f>
        <v>Forbruk (kjørelengde 1 400 mil årlig forbruk fra spekk/test)</v>
      </c>
      <c r="D20" s="172">
        <f>'Planlegging og Evaluering'!F19</f>
        <v>17500</v>
      </c>
      <c r="E20" s="173">
        <f>'Planlegging og Evaluering'!G19</f>
        <v>0.96</v>
      </c>
      <c r="F20" s="112">
        <f>+E20*D20</f>
        <v>16800</v>
      </c>
      <c r="I20" s="36"/>
      <c r="J20" s="36"/>
    </row>
    <row r="21" spans="2:25" s="31" customFormat="1">
      <c r="B21" s="93" t="s">
        <v>180</v>
      </c>
      <c r="C21" s="171" t="str">
        <f>'Planlegging og Evaluering'!C20</f>
        <v>Årsavgift</v>
      </c>
      <c r="D21" s="172">
        <f>'Planlegging og Evaluering'!F20</f>
        <v>5</v>
      </c>
      <c r="E21" s="173">
        <f>'Planlegging og Evaluering'!G20</f>
        <v>455</v>
      </c>
      <c r="F21" s="112">
        <f>+E21*D21</f>
        <v>2275</v>
      </c>
      <c r="I21" s="36"/>
      <c r="J21" s="36"/>
    </row>
    <row r="22" spans="2:25" s="31" customFormat="1">
      <c r="B22" s="93" t="s">
        <v>181</v>
      </c>
      <c r="C22" s="171" t="str">
        <f>'Planlegging og Evaluering'!C21</f>
        <v>Andre driftskostnader</v>
      </c>
      <c r="D22" s="172">
        <f>'Planlegging og Evaluering'!F21</f>
        <v>5</v>
      </c>
      <c r="E22" s="173">
        <f>'Planlegging og Evaluering'!G21</f>
        <v>0</v>
      </c>
      <c r="F22" s="112">
        <f>+E22*D22</f>
        <v>0</v>
      </c>
      <c r="I22" s="36"/>
      <c r="J22" s="36"/>
    </row>
    <row r="23" spans="2:25" s="31" customFormat="1" ht="13.8" thickBot="1">
      <c r="B23" s="97" t="s">
        <v>15</v>
      </c>
      <c r="C23" s="174"/>
      <c r="D23" s="174"/>
      <c r="E23" s="175"/>
      <c r="F23" s="113">
        <f>SUM(F18:F22)</f>
        <v>96575</v>
      </c>
      <c r="I23" s="36"/>
      <c r="J23" s="36"/>
    </row>
    <row r="24" spans="2:25" ht="13.8" thickTop="1">
      <c r="B24" s="114"/>
      <c r="C24" s="176"/>
      <c r="D24" s="176"/>
      <c r="E24" s="176"/>
      <c r="F24" s="111"/>
    </row>
    <row r="25" spans="2:25" ht="13.8" thickBot="1">
      <c r="B25" s="115" t="s">
        <v>158</v>
      </c>
      <c r="C25" s="171" t="str">
        <f>'Planlegging og Evaluering'!C24</f>
        <v>Avhendingsutgifter - salgsinntekter</v>
      </c>
      <c r="D25" s="172">
        <f>'Planlegging og Evaluering'!F24</f>
        <v>5</v>
      </c>
      <c r="E25" s="173">
        <f>'Planlegging og Evaluering'!G24</f>
        <v>-41666.666666666664</v>
      </c>
      <c r="F25" s="113">
        <f>+E25*D25</f>
        <v>-208333.33333333331</v>
      </c>
    </row>
    <row r="26" spans="2:25" ht="13.8" thickTop="1">
      <c r="C26" s="34"/>
      <c r="D26" s="34"/>
    </row>
    <row r="27" spans="2:25">
      <c r="C27" s="34"/>
    </row>
    <row r="28" spans="2:25" ht="13.8" thickBot="1">
      <c r="B28" s="49"/>
      <c r="C28" s="49"/>
    </row>
    <row r="29" spans="2:25">
      <c r="B29" s="292" t="s">
        <v>18</v>
      </c>
      <c r="C29" s="292"/>
    </row>
    <row r="30" spans="2:25">
      <c r="B30" s="79"/>
      <c r="C30" s="79"/>
    </row>
    <row r="31" spans="2:25" ht="21.75" customHeight="1"/>
    <row r="32" spans="2:25" ht="33.75" customHeight="1">
      <c r="B32" s="290" t="s">
        <v>176</v>
      </c>
      <c r="C32" s="290"/>
      <c r="D32" s="290"/>
      <c r="E32" s="290"/>
      <c r="F32" s="290"/>
      <c r="G32" s="290"/>
      <c r="H32" s="290"/>
      <c r="I32" s="290"/>
      <c r="J32" s="290"/>
      <c r="K32" s="290"/>
      <c r="L32" s="290"/>
      <c r="M32" s="290"/>
      <c r="N32" s="290"/>
      <c r="O32" s="290"/>
      <c r="P32" s="290"/>
      <c r="Q32" s="290"/>
      <c r="R32" s="290"/>
      <c r="S32" s="290"/>
      <c r="T32" s="290"/>
      <c r="U32" s="290"/>
      <c r="V32" s="290"/>
      <c r="W32" s="290"/>
      <c r="X32" s="290"/>
      <c r="Y32" s="290"/>
    </row>
    <row r="33" spans="1:26" ht="11.25" customHeight="1">
      <c r="A33" s="80"/>
      <c r="B33" s="36"/>
    </row>
    <row r="34" spans="1:26" s="4" customFormat="1" ht="22.35" customHeight="1">
      <c r="A34" s="36"/>
      <c r="B34" s="28" t="s">
        <v>175</v>
      </c>
      <c r="C34" s="27"/>
      <c r="D34" s="225">
        <f>Y59</f>
        <v>1666610.5074131652</v>
      </c>
      <c r="E34" s="28"/>
      <c r="F34" s="28"/>
      <c r="G34" s="27"/>
      <c r="H34" s="28"/>
      <c r="I34" s="27"/>
      <c r="J34" s="28"/>
      <c r="K34" s="27"/>
      <c r="L34" s="28"/>
      <c r="M34" s="27"/>
      <c r="N34" s="28"/>
      <c r="O34" s="27"/>
      <c r="P34" s="28"/>
      <c r="Q34" s="27"/>
      <c r="R34" s="28"/>
      <c r="S34" s="27"/>
      <c r="T34" s="28"/>
      <c r="U34" s="27"/>
      <c r="V34" s="28"/>
      <c r="W34" s="27"/>
      <c r="X34" s="28"/>
      <c r="Y34" s="27"/>
      <c r="Z34" s="36"/>
    </row>
    <row r="36" spans="1:26">
      <c r="B36" s="293" t="s">
        <v>194</v>
      </c>
      <c r="C36" s="294"/>
      <c r="D36" s="126">
        <v>0</v>
      </c>
      <c r="E36" s="126">
        <v>1</v>
      </c>
      <c r="F36" s="126">
        <v>2</v>
      </c>
      <c r="G36" s="126">
        <v>3</v>
      </c>
      <c r="H36" s="126">
        <v>4</v>
      </c>
      <c r="I36" s="126">
        <v>5</v>
      </c>
      <c r="J36" s="126">
        <v>6</v>
      </c>
      <c r="K36" s="126">
        <v>7</v>
      </c>
      <c r="L36" s="126">
        <v>8</v>
      </c>
      <c r="M36" s="126">
        <v>9</v>
      </c>
      <c r="N36" s="126">
        <v>10</v>
      </c>
      <c r="O36" s="126">
        <v>11</v>
      </c>
      <c r="P36" s="126">
        <v>12</v>
      </c>
      <c r="Q36" s="126">
        <v>13</v>
      </c>
      <c r="R36" s="126">
        <v>14</v>
      </c>
      <c r="S36" s="126">
        <v>15</v>
      </c>
      <c r="T36" s="126">
        <v>16</v>
      </c>
      <c r="U36" s="126">
        <v>17</v>
      </c>
      <c r="V36" s="126">
        <v>18</v>
      </c>
      <c r="W36" s="126">
        <v>19</v>
      </c>
      <c r="X36" s="126">
        <v>20</v>
      </c>
      <c r="Y36" s="126" t="s">
        <v>93</v>
      </c>
    </row>
    <row r="37" spans="1:26">
      <c r="B37" s="111" t="str">
        <f>+'Planlegging og Evaluering'!B12</f>
        <v>Investeringskost 1</v>
      </c>
      <c r="C37" s="111" t="str">
        <f>+'Planlegging og Evaluering'!C12</f>
        <v>Bil med sommer og vinterdekk</v>
      </c>
      <c r="D37" s="111">
        <f>+F13</f>
        <v>1250000</v>
      </c>
      <c r="E37" s="111"/>
      <c r="F37" s="111"/>
      <c r="G37" s="111"/>
      <c r="H37" s="111"/>
      <c r="I37" s="111"/>
      <c r="J37" s="111"/>
      <c r="K37" s="111"/>
      <c r="L37" s="111"/>
      <c r="M37" s="111"/>
      <c r="N37" s="111"/>
      <c r="O37" s="111"/>
      <c r="P37" s="111"/>
      <c r="Q37" s="111"/>
      <c r="R37" s="111"/>
      <c r="S37" s="111"/>
      <c r="T37" s="111"/>
      <c r="U37" s="111"/>
      <c r="V37" s="111"/>
      <c r="W37" s="111"/>
      <c r="X37" s="111"/>
      <c r="Y37" s="111">
        <f>SUM(D37:X37)</f>
        <v>1250000</v>
      </c>
    </row>
    <row r="38" spans="1:26">
      <c r="B38" s="111" t="str">
        <f>+'Planlegging og Evaluering'!B13</f>
        <v>Investeringskost 2</v>
      </c>
      <c r="C38" s="111" t="str">
        <f>+'Planlegging og Evaluering'!C13</f>
        <v>Ekstrautstyr: automatgir og ryggesensor</v>
      </c>
      <c r="D38" s="111">
        <f>+F14</f>
        <v>75000</v>
      </c>
      <c r="E38" s="111"/>
      <c r="F38" s="111"/>
      <c r="G38" s="111"/>
      <c r="H38" s="111"/>
      <c r="I38" s="111"/>
      <c r="J38" s="111"/>
      <c r="K38" s="111"/>
      <c r="L38" s="111"/>
      <c r="M38" s="111"/>
      <c r="N38" s="111"/>
      <c r="O38" s="111"/>
      <c r="P38" s="111"/>
      <c r="Q38" s="111"/>
      <c r="R38" s="111"/>
      <c r="S38" s="111"/>
      <c r="T38" s="111"/>
      <c r="U38" s="111"/>
      <c r="V38" s="111"/>
      <c r="W38" s="111"/>
      <c r="X38" s="111"/>
      <c r="Y38" s="111">
        <f t="shared" ref="Y38:Y47" si="0">SUM(D38:X38)</f>
        <v>75000</v>
      </c>
    </row>
    <row r="39" spans="1:26">
      <c r="B39" s="111" t="str">
        <f>+'Planlegging og Evaluering'!B14</f>
        <v>Investeringskost 3</v>
      </c>
      <c r="C39" s="111" t="str">
        <f>+'Planlegging og Evaluering'!C14</f>
        <v>Andre investeringskostnader</v>
      </c>
      <c r="D39" s="111">
        <f>+F15</f>
        <v>0</v>
      </c>
      <c r="E39" s="111"/>
      <c r="F39" s="111"/>
      <c r="G39" s="111"/>
      <c r="H39" s="111"/>
      <c r="I39" s="111"/>
      <c r="J39" s="111"/>
      <c r="K39" s="111"/>
      <c r="L39" s="111"/>
      <c r="M39" s="111"/>
      <c r="N39" s="111"/>
      <c r="O39" s="111"/>
      <c r="P39" s="111"/>
      <c r="Q39" s="111"/>
      <c r="R39" s="111"/>
      <c r="S39" s="111"/>
      <c r="T39" s="111"/>
      <c r="U39" s="111"/>
      <c r="V39" s="111"/>
      <c r="W39" s="111"/>
      <c r="X39" s="111"/>
      <c r="Y39" s="111">
        <f t="shared" si="0"/>
        <v>0</v>
      </c>
    </row>
    <row r="40" spans="1:26">
      <c r="B40" s="111" t="str">
        <f>+'Planlegging og Evaluering'!B17</f>
        <v>Driftsutgift 1 (per år)</v>
      </c>
      <c r="C40" s="111" t="str">
        <f>+'Planlegging og Evaluering'!C17</f>
        <v>Forsikring</v>
      </c>
      <c r="D40" s="111"/>
      <c r="E40" s="111">
        <f t="shared" ref="E40:X40" si="1">IF(E$36&lt;=Levetid,$F18*(1+Justert_prisstigning)^E$36,)</f>
        <v>40000</v>
      </c>
      <c r="F40" s="111">
        <f t="shared" si="1"/>
        <v>40000</v>
      </c>
      <c r="G40" s="111">
        <f t="shared" si="1"/>
        <v>40000</v>
      </c>
      <c r="H40" s="111">
        <f t="shared" si="1"/>
        <v>40000</v>
      </c>
      <c r="I40" s="111">
        <f t="shared" si="1"/>
        <v>40000</v>
      </c>
      <c r="J40" s="111">
        <f t="shared" si="1"/>
        <v>40000</v>
      </c>
      <c r="K40" s="111">
        <f t="shared" si="1"/>
        <v>0</v>
      </c>
      <c r="L40" s="111">
        <f t="shared" si="1"/>
        <v>0</v>
      </c>
      <c r="M40" s="111">
        <f t="shared" si="1"/>
        <v>0</v>
      </c>
      <c r="N40" s="111">
        <f t="shared" si="1"/>
        <v>0</v>
      </c>
      <c r="O40" s="111">
        <f t="shared" si="1"/>
        <v>0</v>
      </c>
      <c r="P40" s="111">
        <f t="shared" si="1"/>
        <v>0</v>
      </c>
      <c r="Q40" s="111">
        <f t="shared" si="1"/>
        <v>0</v>
      </c>
      <c r="R40" s="111">
        <f t="shared" si="1"/>
        <v>0</v>
      </c>
      <c r="S40" s="111">
        <f t="shared" si="1"/>
        <v>0</v>
      </c>
      <c r="T40" s="111">
        <f t="shared" si="1"/>
        <v>0</v>
      </c>
      <c r="U40" s="111">
        <f t="shared" si="1"/>
        <v>0</v>
      </c>
      <c r="V40" s="111">
        <f t="shared" si="1"/>
        <v>0</v>
      </c>
      <c r="W40" s="111">
        <f t="shared" si="1"/>
        <v>0</v>
      </c>
      <c r="X40" s="111">
        <f t="shared" si="1"/>
        <v>0</v>
      </c>
      <c r="Y40" s="111">
        <f t="shared" si="0"/>
        <v>240000</v>
      </c>
    </row>
    <row r="41" spans="1:26">
      <c r="B41" s="111" t="str">
        <f>+'Planlegging og Evaluering'!B18</f>
        <v>Driftsutgift 2 (per år)</v>
      </c>
      <c r="C41" s="111" t="str">
        <f>+'Planlegging og Evaluering'!C18</f>
        <v>Reparasjon og vedlikehold</v>
      </c>
      <c r="D41" s="111"/>
      <c r="E41" s="111">
        <f t="shared" ref="E41:X41" si="2">IF(E$36&lt;=Levetid,$F19*(1+Justert_prisstigning)^E$36,)</f>
        <v>37500</v>
      </c>
      <c r="F41" s="111">
        <f t="shared" si="2"/>
        <v>37500</v>
      </c>
      <c r="G41" s="111">
        <f t="shared" si="2"/>
        <v>37500</v>
      </c>
      <c r="H41" s="111">
        <f t="shared" si="2"/>
        <v>37500</v>
      </c>
      <c r="I41" s="111">
        <f t="shared" si="2"/>
        <v>37500</v>
      </c>
      <c r="J41" s="111">
        <f t="shared" si="2"/>
        <v>37500</v>
      </c>
      <c r="K41" s="111">
        <f t="shared" si="2"/>
        <v>0</v>
      </c>
      <c r="L41" s="111">
        <f t="shared" si="2"/>
        <v>0</v>
      </c>
      <c r="M41" s="111">
        <f t="shared" si="2"/>
        <v>0</v>
      </c>
      <c r="N41" s="111">
        <f t="shared" si="2"/>
        <v>0</v>
      </c>
      <c r="O41" s="111">
        <f t="shared" si="2"/>
        <v>0</v>
      </c>
      <c r="P41" s="111">
        <f t="shared" si="2"/>
        <v>0</v>
      </c>
      <c r="Q41" s="111">
        <f t="shared" si="2"/>
        <v>0</v>
      </c>
      <c r="R41" s="111">
        <f t="shared" si="2"/>
        <v>0</v>
      </c>
      <c r="S41" s="111">
        <f t="shared" si="2"/>
        <v>0</v>
      </c>
      <c r="T41" s="111">
        <f t="shared" si="2"/>
        <v>0</v>
      </c>
      <c r="U41" s="111">
        <f t="shared" si="2"/>
        <v>0</v>
      </c>
      <c r="V41" s="111">
        <f t="shared" si="2"/>
        <v>0</v>
      </c>
      <c r="W41" s="111">
        <f t="shared" si="2"/>
        <v>0</v>
      </c>
      <c r="X41" s="111">
        <f t="shared" si="2"/>
        <v>0</v>
      </c>
      <c r="Y41" s="111">
        <f t="shared" si="0"/>
        <v>225000</v>
      </c>
    </row>
    <row r="42" spans="1:26">
      <c r="B42" s="111" t="str">
        <f>+'Planlegging og Evaluering'!B19</f>
        <v>Driftsutgift 3 (per år)</v>
      </c>
      <c r="C42" s="111" t="str">
        <f>+'Planlegging og Evaluering'!C19</f>
        <v>Forbruk (kjørelengde 1 400 mil årlig forbruk fra spekk/test)</v>
      </c>
      <c r="D42" s="111"/>
      <c r="E42" s="111">
        <f t="shared" ref="E42:X42" si="3">IF(E$36&lt;=Levetid,$F20*(1+Justert_prisstigning)^E$36,)</f>
        <v>16800</v>
      </c>
      <c r="F42" s="111">
        <f t="shared" si="3"/>
        <v>16800</v>
      </c>
      <c r="G42" s="111">
        <f t="shared" si="3"/>
        <v>16800</v>
      </c>
      <c r="H42" s="111">
        <f t="shared" si="3"/>
        <v>16800</v>
      </c>
      <c r="I42" s="111">
        <f t="shared" si="3"/>
        <v>16800</v>
      </c>
      <c r="J42" s="111">
        <f t="shared" si="3"/>
        <v>16800</v>
      </c>
      <c r="K42" s="111">
        <f t="shared" si="3"/>
        <v>0</v>
      </c>
      <c r="L42" s="111">
        <f t="shared" si="3"/>
        <v>0</v>
      </c>
      <c r="M42" s="111">
        <f t="shared" si="3"/>
        <v>0</v>
      </c>
      <c r="N42" s="111">
        <f t="shared" si="3"/>
        <v>0</v>
      </c>
      <c r="O42" s="111">
        <f t="shared" si="3"/>
        <v>0</v>
      </c>
      <c r="P42" s="111">
        <f t="shared" si="3"/>
        <v>0</v>
      </c>
      <c r="Q42" s="111">
        <f t="shared" si="3"/>
        <v>0</v>
      </c>
      <c r="R42" s="111">
        <f t="shared" si="3"/>
        <v>0</v>
      </c>
      <c r="S42" s="111">
        <f t="shared" si="3"/>
        <v>0</v>
      </c>
      <c r="T42" s="111">
        <f t="shared" si="3"/>
        <v>0</v>
      </c>
      <c r="U42" s="111">
        <f t="shared" si="3"/>
        <v>0</v>
      </c>
      <c r="V42" s="111">
        <f t="shared" si="3"/>
        <v>0</v>
      </c>
      <c r="W42" s="111">
        <f t="shared" si="3"/>
        <v>0</v>
      </c>
      <c r="X42" s="111">
        <f t="shared" si="3"/>
        <v>0</v>
      </c>
      <c r="Y42" s="111">
        <f t="shared" si="0"/>
        <v>100800</v>
      </c>
    </row>
    <row r="43" spans="1:26">
      <c r="B43" s="111" t="str">
        <f>+'Planlegging og Evaluering'!B20</f>
        <v>Driftsutgift 4 (per år)</v>
      </c>
      <c r="C43" s="111" t="str">
        <f>+'Planlegging og Evaluering'!C20</f>
        <v>Årsavgift</v>
      </c>
      <c r="D43" s="111"/>
      <c r="E43" s="111">
        <f t="shared" ref="E43:X43" si="4">IF(E$36&lt;=Levetid,$F21*(1+Justert_prisstigning)^E$36,)</f>
        <v>2275</v>
      </c>
      <c r="F43" s="111">
        <f t="shared" si="4"/>
        <v>2275</v>
      </c>
      <c r="G43" s="111">
        <f t="shared" si="4"/>
        <v>2275</v>
      </c>
      <c r="H43" s="111">
        <f t="shared" si="4"/>
        <v>2275</v>
      </c>
      <c r="I43" s="111">
        <f t="shared" si="4"/>
        <v>2275</v>
      </c>
      <c r="J43" s="111">
        <f t="shared" si="4"/>
        <v>2275</v>
      </c>
      <c r="K43" s="111">
        <f t="shared" si="4"/>
        <v>0</v>
      </c>
      <c r="L43" s="111">
        <f t="shared" si="4"/>
        <v>0</v>
      </c>
      <c r="M43" s="111">
        <f t="shared" si="4"/>
        <v>0</v>
      </c>
      <c r="N43" s="111">
        <f t="shared" si="4"/>
        <v>0</v>
      </c>
      <c r="O43" s="111">
        <f t="shared" si="4"/>
        <v>0</v>
      </c>
      <c r="P43" s="111">
        <f t="shared" si="4"/>
        <v>0</v>
      </c>
      <c r="Q43" s="111">
        <f t="shared" si="4"/>
        <v>0</v>
      </c>
      <c r="R43" s="111">
        <f t="shared" si="4"/>
        <v>0</v>
      </c>
      <c r="S43" s="111">
        <f t="shared" si="4"/>
        <v>0</v>
      </c>
      <c r="T43" s="111">
        <f t="shared" si="4"/>
        <v>0</v>
      </c>
      <c r="U43" s="111">
        <f t="shared" si="4"/>
        <v>0</v>
      </c>
      <c r="V43" s="111">
        <f t="shared" si="4"/>
        <v>0</v>
      </c>
      <c r="W43" s="111">
        <f t="shared" si="4"/>
        <v>0</v>
      </c>
      <c r="X43" s="111">
        <f t="shared" si="4"/>
        <v>0</v>
      </c>
      <c r="Y43" s="111">
        <f t="shared" si="0"/>
        <v>13650</v>
      </c>
    </row>
    <row r="44" spans="1:26">
      <c r="B44" s="111" t="str">
        <f>+'Planlegging og Evaluering'!B21</f>
        <v>Driftsutgift 5 (per år)</v>
      </c>
      <c r="C44" s="111" t="str">
        <f>+'Planlegging og Evaluering'!C21</f>
        <v>Andre driftskostnader</v>
      </c>
      <c r="D44" s="111"/>
      <c r="E44" s="111">
        <f t="shared" ref="E44:X44" si="5">IF(E$36&lt;=Levetid,$F22*(1+Justert_prisstigning)^E$36,)</f>
        <v>0</v>
      </c>
      <c r="F44" s="111">
        <f t="shared" si="5"/>
        <v>0</v>
      </c>
      <c r="G44" s="111">
        <f t="shared" si="5"/>
        <v>0</v>
      </c>
      <c r="H44" s="111">
        <f t="shared" si="5"/>
        <v>0</v>
      </c>
      <c r="I44" s="111">
        <f t="shared" si="5"/>
        <v>0</v>
      </c>
      <c r="J44" s="111">
        <f t="shared" si="5"/>
        <v>0</v>
      </c>
      <c r="K44" s="111">
        <f t="shared" si="5"/>
        <v>0</v>
      </c>
      <c r="L44" s="111">
        <f t="shared" si="5"/>
        <v>0</v>
      </c>
      <c r="M44" s="111">
        <f t="shared" si="5"/>
        <v>0</v>
      </c>
      <c r="N44" s="111">
        <f t="shared" si="5"/>
        <v>0</v>
      </c>
      <c r="O44" s="111">
        <f t="shared" si="5"/>
        <v>0</v>
      </c>
      <c r="P44" s="111">
        <f t="shared" si="5"/>
        <v>0</v>
      </c>
      <c r="Q44" s="111">
        <f t="shared" si="5"/>
        <v>0</v>
      </c>
      <c r="R44" s="111">
        <f t="shared" si="5"/>
        <v>0</v>
      </c>
      <c r="S44" s="111">
        <f t="shared" si="5"/>
        <v>0</v>
      </c>
      <c r="T44" s="111">
        <f t="shared" si="5"/>
        <v>0</v>
      </c>
      <c r="U44" s="111">
        <f t="shared" si="5"/>
        <v>0</v>
      </c>
      <c r="V44" s="111">
        <f t="shared" si="5"/>
        <v>0</v>
      </c>
      <c r="W44" s="111">
        <f t="shared" si="5"/>
        <v>0</v>
      </c>
      <c r="X44" s="111">
        <f t="shared" si="5"/>
        <v>0</v>
      </c>
      <c r="Y44" s="111">
        <f t="shared" si="0"/>
        <v>0</v>
      </c>
    </row>
    <row r="45" spans="1:26">
      <c r="B45" s="111" t="str">
        <f>+'Planlegging og Evaluering'!B24</f>
        <v>Avhendingskostnader/restverdier</v>
      </c>
      <c r="C45" s="111" t="str">
        <f>+'Planlegging og Evaluering'!C24</f>
        <v>Avhendingsutgifter - salgsinntekter</v>
      </c>
      <c r="D45" s="95">
        <f t="shared" ref="D45:X45" si="6">IF(Levetid=D36,$F$25*(1+Justert_prisstigning)^D36,)</f>
        <v>0</v>
      </c>
      <c r="E45" s="95">
        <f t="shared" si="6"/>
        <v>0</v>
      </c>
      <c r="F45" s="95">
        <f t="shared" si="6"/>
        <v>0</v>
      </c>
      <c r="G45" s="95">
        <f t="shared" si="6"/>
        <v>0</v>
      </c>
      <c r="H45" s="95">
        <f t="shared" si="6"/>
        <v>0</v>
      </c>
      <c r="I45" s="95">
        <f t="shared" si="6"/>
        <v>0</v>
      </c>
      <c r="J45" s="95">
        <f t="shared" si="6"/>
        <v>-208333.33333333331</v>
      </c>
      <c r="K45" s="95">
        <f t="shared" si="6"/>
        <v>0</v>
      </c>
      <c r="L45" s="95">
        <f t="shared" si="6"/>
        <v>0</v>
      </c>
      <c r="M45" s="95">
        <f t="shared" si="6"/>
        <v>0</v>
      </c>
      <c r="N45" s="95">
        <f t="shared" si="6"/>
        <v>0</v>
      </c>
      <c r="O45" s="95">
        <f t="shared" si="6"/>
        <v>0</v>
      </c>
      <c r="P45" s="95">
        <f t="shared" si="6"/>
        <v>0</v>
      </c>
      <c r="Q45" s="95">
        <f t="shared" si="6"/>
        <v>0</v>
      </c>
      <c r="R45" s="95">
        <f t="shared" si="6"/>
        <v>0</v>
      </c>
      <c r="S45" s="95">
        <f t="shared" si="6"/>
        <v>0</v>
      </c>
      <c r="T45" s="95">
        <f t="shared" si="6"/>
        <v>0</v>
      </c>
      <c r="U45" s="95">
        <f t="shared" si="6"/>
        <v>0</v>
      </c>
      <c r="V45" s="95">
        <f t="shared" si="6"/>
        <v>0</v>
      </c>
      <c r="W45" s="95">
        <f t="shared" si="6"/>
        <v>0</v>
      </c>
      <c r="X45" s="95">
        <f t="shared" si="6"/>
        <v>0</v>
      </c>
      <c r="Y45" s="111">
        <f t="shared" si="0"/>
        <v>-208333.33333333331</v>
      </c>
    </row>
    <row r="46" spans="1:26">
      <c r="B46" s="111"/>
      <c r="C46" s="111" t="s">
        <v>28</v>
      </c>
      <c r="D46" s="95">
        <f>SUM(D37:D45)</f>
        <v>1325000</v>
      </c>
      <c r="E46" s="95">
        <f>SUM(E37:E45)</f>
        <v>96575</v>
      </c>
      <c r="F46" s="95">
        <f>SUM(F37:F45)</f>
        <v>96575</v>
      </c>
      <c r="G46" s="95">
        <f>SUM(G37:G45)</f>
        <v>96575</v>
      </c>
      <c r="H46" s="95">
        <f>SUM(H37:H45)</f>
        <v>96575</v>
      </c>
      <c r="I46" s="95">
        <f t="shared" ref="I46:X46" si="7">SUM(I37:I45)</f>
        <v>96575</v>
      </c>
      <c r="J46" s="95">
        <f t="shared" si="7"/>
        <v>-111758.33333333331</v>
      </c>
      <c r="K46" s="95">
        <f t="shared" si="7"/>
        <v>0</v>
      </c>
      <c r="L46" s="95">
        <f t="shared" si="7"/>
        <v>0</v>
      </c>
      <c r="M46" s="95">
        <f t="shared" si="7"/>
        <v>0</v>
      </c>
      <c r="N46" s="95">
        <f t="shared" si="7"/>
        <v>0</v>
      </c>
      <c r="O46" s="95">
        <f t="shared" si="7"/>
        <v>0</v>
      </c>
      <c r="P46" s="95">
        <f t="shared" si="7"/>
        <v>0</v>
      </c>
      <c r="Q46" s="95">
        <f t="shared" si="7"/>
        <v>0</v>
      </c>
      <c r="R46" s="95">
        <f t="shared" si="7"/>
        <v>0</v>
      </c>
      <c r="S46" s="95">
        <f t="shared" si="7"/>
        <v>0</v>
      </c>
      <c r="T46" s="95">
        <f t="shared" si="7"/>
        <v>0</v>
      </c>
      <c r="U46" s="95">
        <f t="shared" si="7"/>
        <v>0</v>
      </c>
      <c r="V46" s="95">
        <f t="shared" si="7"/>
        <v>0</v>
      </c>
      <c r="W46" s="95">
        <f t="shared" si="7"/>
        <v>0</v>
      </c>
      <c r="X46" s="95">
        <f t="shared" si="7"/>
        <v>0</v>
      </c>
      <c r="Y46" s="111">
        <f t="shared" si="0"/>
        <v>1696116.6666666667</v>
      </c>
    </row>
    <row r="47" spans="1:26" s="81" customFormat="1">
      <c r="C47" s="81" t="s">
        <v>124</v>
      </c>
      <c r="D47" s="81">
        <f>+D46*D63</f>
        <v>1325000</v>
      </c>
      <c r="E47" s="81">
        <f>+E46*E62</f>
        <v>92860.576923076922</v>
      </c>
      <c r="F47" s="81">
        <f>+F46*F62</f>
        <v>89289.016272189343</v>
      </c>
      <c r="G47" s="81">
        <f>+G46*G62</f>
        <v>85854.823338643604</v>
      </c>
      <c r="H47" s="81">
        <f>+H46*H62</f>
        <v>82552.714748695755</v>
      </c>
      <c r="I47" s="81">
        <f>+I46*I62</f>
        <v>79377.610335284378</v>
      </c>
      <c r="J47" s="81">
        <f t="shared" ref="J47:X47" si="8">+J46*J62</f>
        <v>-88324.234204724853</v>
      </c>
      <c r="K47" s="81">
        <f t="shared" si="8"/>
        <v>0</v>
      </c>
      <c r="L47" s="81">
        <f t="shared" si="8"/>
        <v>0</v>
      </c>
      <c r="M47" s="81">
        <f t="shared" si="8"/>
        <v>0</v>
      </c>
      <c r="N47" s="81">
        <f t="shared" si="8"/>
        <v>0</v>
      </c>
      <c r="O47" s="81">
        <f t="shared" si="8"/>
        <v>0</v>
      </c>
      <c r="P47" s="81">
        <f t="shared" si="8"/>
        <v>0</v>
      </c>
      <c r="Q47" s="81">
        <f t="shared" si="8"/>
        <v>0</v>
      </c>
      <c r="R47" s="81">
        <f t="shared" si="8"/>
        <v>0</v>
      </c>
      <c r="S47" s="81">
        <f t="shared" si="8"/>
        <v>0</v>
      </c>
      <c r="T47" s="81">
        <f t="shared" si="8"/>
        <v>0</v>
      </c>
      <c r="U47" s="81">
        <f t="shared" si="8"/>
        <v>0</v>
      </c>
      <c r="V47" s="81">
        <f t="shared" si="8"/>
        <v>0</v>
      </c>
      <c r="W47" s="81">
        <f t="shared" si="8"/>
        <v>0</v>
      </c>
      <c r="X47" s="81">
        <f t="shared" si="8"/>
        <v>0</v>
      </c>
      <c r="Y47" s="81">
        <f t="shared" si="0"/>
        <v>1666610.5074131652</v>
      </c>
    </row>
    <row r="48" spans="1:26">
      <c r="B48" s="36"/>
    </row>
    <row r="49" spans="2:25">
      <c r="B49" s="295" t="s">
        <v>101</v>
      </c>
      <c r="C49" s="295"/>
      <c r="D49" s="126">
        <v>0</v>
      </c>
      <c r="E49" s="126">
        <v>1</v>
      </c>
      <c r="F49" s="126">
        <v>2</v>
      </c>
      <c r="G49" s="126">
        <v>3</v>
      </c>
      <c r="H49" s="126">
        <v>4</v>
      </c>
      <c r="I49" s="126">
        <v>5</v>
      </c>
      <c r="J49" s="126">
        <v>6</v>
      </c>
      <c r="K49" s="126">
        <v>7</v>
      </c>
      <c r="L49" s="126">
        <v>8</v>
      </c>
      <c r="M49" s="126">
        <v>9</v>
      </c>
      <c r="N49" s="126">
        <v>10</v>
      </c>
      <c r="O49" s="126">
        <v>11</v>
      </c>
      <c r="P49" s="126">
        <v>12</v>
      </c>
      <c r="Q49" s="126">
        <v>13</v>
      </c>
      <c r="R49" s="126">
        <v>14</v>
      </c>
      <c r="S49" s="126">
        <v>15</v>
      </c>
      <c r="T49" s="126">
        <v>16</v>
      </c>
      <c r="U49" s="126">
        <v>17</v>
      </c>
      <c r="V49" s="126">
        <v>18</v>
      </c>
      <c r="W49" s="126">
        <v>19</v>
      </c>
      <c r="X49" s="126">
        <v>20</v>
      </c>
      <c r="Y49" s="126" t="s">
        <v>89</v>
      </c>
    </row>
    <row r="50" spans="2:25">
      <c r="B50" s="111" t="str">
        <f>+'Planlegging og Evaluering'!B12</f>
        <v>Investeringskost 1</v>
      </c>
      <c r="C50" s="111" t="str">
        <f>+'Planlegging og Evaluering'!C12</f>
        <v>Bil med sommer og vinterdekk</v>
      </c>
      <c r="D50" s="111">
        <f>+D37*$D$62</f>
        <v>1250000</v>
      </c>
      <c r="E50" s="111"/>
      <c r="F50" s="111"/>
      <c r="G50" s="111"/>
      <c r="H50" s="111"/>
      <c r="I50" s="111"/>
      <c r="J50" s="111"/>
      <c r="K50" s="111"/>
      <c r="L50" s="111"/>
      <c r="M50" s="111"/>
      <c r="N50" s="111"/>
      <c r="O50" s="111"/>
      <c r="P50" s="111"/>
      <c r="Q50" s="111"/>
      <c r="R50" s="111"/>
      <c r="S50" s="111"/>
      <c r="T50" s="111"/>
      <c r="U50" s="111"/>
      <c r="V50" s="111"/>
      <c r="W50" s="111"/>
      <c r="X50" s="111"/>
      <c r="Y50" s="111">
        <f>SUM(D50:X50)</f>
        <v>1250000</v>
      </c>
    </row>
    <row r="51" spans="2:25">
      <c r="B51" s="111" t="str">
        <f>+'Planlegging og Evaluering'!B13</f>
        <v>Investeringskost 2</v>
      </c>
      <c r="C51" s="111" t="str">
        <f>+'Planlegging og Evaluering'!C13</f>
        <v>Ekstrautstyr: automatgir og ryggesensor</v>
      </c>
      <c r="D51" s="111">
        <f>+D38*$D$62</f>
        <v>75000</v>
      </c>
      <c r="E51" s="111"/>
      <c r="F51" s="111"/>
      <c r="G51" s="111"/>
      <c r="H51" s="111"/>
      <c r="I51" s="111"/>
      <c r="J51" s="111"/>
      <c r="K51" s="111"/>
      <c r="L51" s="111"/>
      <c r="M51" s="111"/>
      <c r="N51" s="111"/>
      <c r="O51" s="111"/>
      <c r="P51" s="111"/>
      <c r="Q51" s="111"/>
      <c r="R51" s="111"/>
      <c r="S51" s="111"/>
      <c r="T51" s="111"/>
      <c r="U51" s="111"/>
      <c r="V51" s="111"/>
      <c r="W51" s="111"/>
      <c r="X51" s="111"/>
      <c r="Y51" s="111">
        <f t="shared" ref="Y51:Y60" si="9">SUM(D51:X51)</f>
        <v>75000</v>
      </c>
    </row>
    <row r="52" spans="2:25">
      <c r="B52" s="111" t="str">
        <f>+'Planlegging og Evaluering'!B14</f>
        <v>Investeringskost 3</v>
      </c>
      <c r="C52" s="111" t="str">
        <f>+'Planlegging og Evaluering'!C14</f>
        <v>Andre investeringskostnader</v>
      </c>
      <c r="D52" s="111">
        <f>+D39*$D$62</f>
        <v>0</v>
      </c>
      <c r="E52" s="111"/>
      <c r="F52" s="111"/>
      <c r="G52" s="111"/>
      <c r="H52" s="111"/>
      <c r="I52" s="111"/>
      <c r="J52" s="111"/>
      <c r="K52" s="111"/>
      <c r="L52" s="111"/>
      <c r="M52" s="111"/>
      <c r="N52" s="111"/>
      <c r="O52" s="111"/>
      <c r="P52" s="111"/>
      <c r="Q52" s="111"/>
      <c r="R52" s="111"/>
      <c r="S52" s="111"/>
      <c r="T52" s="111"/>
      <c r="U52" s="111"/>
      <c r="V52" s="111"/>
      <c r="W52" s="111"/>
      <c r="X52" s="111"/>
      <c r="Y52" s="111">
        <f t="shared" si="9"/>
        <v>0</v>
      </c>
    </row>
    <row r="53" spans="2:25">
      <c r="B53" s="111" t="str">
        <f>+'Planlegging og Evaluering'!B17</f>
        <v>Driftsutgift 1 (per år)</v>
      </c>
      <c r="C53" s="111" t="str">
        <f>+'Planlegging og Evaluering'!C17</f>
        <v>Forsikring</v>
      </c>
      <c r="D53" s="111">
        <f t="shared" ref="D53:X53" si="10">+D40*D$62</f>
        <v>0</v>
      </c>
      <c r="E53" s="111">
        <f>+E40*E$62</f>
        <v>38461.538461538461</v>
      </c>
      <c r="F53" s="111">
        <f t="shared" si="10"/>
        <v>36982.248520710054</v>
      </c>
      <c r="G53" s="111">
        <f t="shared" si="10"/>
        <v>35559.854346836597</v>
      </c>
      <c r="H53" s="111">
        <f t="shared" si="10"/>
        <v>34192.167641189029</v>
      </c>
      <c r="I53" s="111">
        <f t="shared" si="10"/>
        <v>32877.084270374064</v>
      </c>
      <c r="J53" s="111">
        <f t="shared" si="10"/>
        <v>31612.581029205827</v>
      </c>
      <c r="K53" s="111">
        <f t="shared" si="10"/>
        <v>0</v>
      </c>
      <c r="L53" s="111">
        <f t="shared" si="10"/>
        <v>0</v>
      </c>
      <c r="M53" s="111">
        <f t="shared" si="10"/>
        <v>0</v>
      </c>
      <c r="N53" s="111">
        <f t="shared" si="10"/>
        <v>0</v>
      </c>
      <c r="O53" s="111">
        <f t="shared" si="10"/>
        <v>0</v>
      </c>
      <c r="P53" s="111">
        <f t="shared" si="10"/>
        <v>0</v>
      </c>
      <c r="Q53" s="111">
        <f t="shared" si="10"/>
        <v>0</v>
      </c>
      <c r="R53" s="111">
        <f t="shared" si="10"/>
        <v>0</v>
      </c>
      <c r="S53" s="111">
        <f t="shared" si="10"/>
        <v>0</v>
      </c>
      <c r="T53" s="111">
        <f t="shared" si="10"/>
        <v>0</v>
      </c>
      <c r="U53" s="111">
        <f t="shared" si="10"/>
        <v>0</v>
      </c>
      <c r="V53" s="111">
        <f t="shared" si="10"/>
        <v>0</v>
      </c>
      <c r="W53" s="111">
        <f t="shared" si="10"/>
        <v>0</v>
      </c>
      <c r="X53" s="111">
        <f t="shared" si="10"/>
        <v>0</v>
      </c>
      <c r="Y53" s="111">
        <f t="shared" si="9"/>
        <v>209685.47426985402</v>
      </c>
    </row>
    <row r="54" spans="2:25">
      <c r="B54" s="111" t="str">
        <f>+'Planlegging og Evaluering'!B18</f>
        <v>Driftsutgift 2 (per år)</v>
      </c>
      <c r="C54" s="111" t="str">
        <f>+'Planlegging og Evaluering'!C18</f>
        <v>Reparasjon og vedlikehold</v>
      </c>
      <c r="D54" s="111">
        <f t="shared" ref="D54:X54" si="11">+D41*D$62</f>
        <v>0</v>
      </c>
      <c r="E54" s="111">
        <f t="shared" si="11"/>
        <v>36057.692307692305</v>
      </c>
      <c r="F54" s="111">
        <f t="shared" si="11"/>
        <v>34670.857988165677</v>
      </c>
      <c r="G54" s="111">
        <f t="shared" si="11"/>
        <v>33337.363450159304</v>
      </c>
      <c r="H54" s="111">
        <f t="shared" si="11"/>
        <v>32055.157163614713</v>
      </c>
      <c r="I54" s="111">
        <f t="shared" si="11"/>
        <v>30822.266503475683</v>
      </c>
      <c r="J54" s="111">
        <f t="shared" si="11"/>
        <v>29636.794714880463</v>
      </c>
      <c r="K54" s="111">
        <f t="shared" si="11"/>
        <v>0</v>
      </c>
      <c r="L54" s="111">
        <f t="shared" si="11"/>
        <v>0</v>
      </c>
      <c r="M54" s="111">
        <f t="shared" si="11"/>
        <v>0</v>
      </c>
      <c r="N54" s="111">
        <f t="shared" si="11"/>
        <v>0</v>
      </c>
      <c r="O54" s="111">
        <f t="shared" si="11"/>
        <v>0</v>
      </c>
      <c r="P54" s="111">
        <f t="shared" si="11"/>
        <v>0</v>
      </c>
      <c r="Q54" s="111">
        <f t="shared" si="11"/>
        <v>0</v>
      </c>
      <c r="R54" s="111">
        <f t="shared" si="11"/>
        <v>0</v>
      </c>
      <c r="S54" s="111">
        <f t="shared" si="11"/>
        <v>0</v>
      </c>
      <c r="T54" s="111">
        <f t="shared" si="11"/>
        <v>0</v>
      </c>
      <c r="U54" s="111">
        <f t="shared" si="11"/>
        <v>0</v>
      </c>
      <c r="V54" s="111">
        <f t="shared" si="11"/>
        <v>0</v>
      </c>
      <c r="W54" s="111">
        <f t="shared" si="11"/>
        <v>0</v>
      </c>
      <c r="X54" s="111">
        <f t="shared" si="11"/>
        <v>0</v>
      </c>
      <c r="Y54" s="111">
        <f t="shared" si="9"/>
        <v>196580.13212798815</v>
      </c>
    </row>
    <row r="55" spans="2:25">
      <c r="B55" s="111" t="str">
        <f>+'Planlegging og Evaluering'!B19</f>
        <v>Driftsutgift 3 (per år)</v>
      </c>
      <c r="C55" s="111" t="str">
        <f>+'Planlegging og Evaluering'!C19</f>
        <v>Forbruk (kjørelengde 1 400 mil årlig forbruk fra spekk/test)</v>
      </c>
      <c r="D55" s="111">
        <f t="shared" ref="D55:X55" si="12">+D42*D$62</f>
        <v>0</v>
      </c>
      <c r="E55" s="111">
        <f t="shared" si="12"/>
        <v>16153.846153846152</v>
      </c>
      <c r="F55" s="111">
        <f t="shared" si="12"/>
        <v>15532.544378698223</v>
      </c>
      <c r="G55" s="111">
        <f t="shared" si="12"/>
        <v>14935.138825671369</v>
      </c>
      <c r="H55" s="111">
        <f t="shared" si="12"/>
        <v>14360.710409299392</v>
      </c>
      <c r="I55" s="111">
        <f t="shared" si="12"/>
        <v>13808.375393557106</v>
      </c>
      <c r="J55" s="111">
        <f t="shared" si="12"/>
        <v>13277.284032266449</v>
      </c>
      <c r="K55" s="111">
        <f t="shared" si="12"/>
        <v>0</v>
      </c>
      <c r="L55" s="111">
        <f t="shared" si="12"/>
        <v>0</v>
      </c>
      <c r="M55" s="111">
        <f t="shared" si="12"/>
        <v>0</v>
      </c>
      <c r="N55" s="111">
        <f t="shared" si="12"/>
        <v>0</v>
      </c>
      <c r="O55" s="111">
        <f t="shared" si="12"/>
        <v>0</v>
      </c>
      <c r="P55" s="111">
        <f t="shared" si="12"/>
        <v>0</v>
      </c>
      <c r="Q55" s="111">
        <f t="shared" si="12"/>
        <v>0</v>
      </c>
      <c r="R55" s="111">
        <f t="shared" si="12"/>
        <v>0</v>
      </c>
      <c r="S55" s="111">
        <f t="shared" si="12"/>
        <v>0</v>
      </c>
      <c r="T55" s="111">
        <f t="shared" si="12"/>
        <v>0</v>
      </c>
      <c r="U55" s="111">
        <f t="shared" si="12"/>
        <v>0</v>
      </c>
      <c r="V55" s="111">
        <f t="shared" si="12"/>
        <v>0</v>
      </c>
      <c r="W55" s="111">
        <f t="shared" si="12"/>
        <v>0</v>
      </c>
      <c r="X55" s="111">
        <f t="shared" si="12"/>
        <v>0</v>
      </c>
      <c r="Y55" s="111">
        <f t="shared" si="9"/>
        <v>88067.899193338701</v>
      </c>
    </row>
    <row r="56" spans="2:25">
      <c r="B56" s="111" t="str">
        <f>+'Planlegging og Evaluering'!B20</f>
        <v>Driftsutgift 4 (per år)</v>
      </c>
      <c r="C56" s="111" t="str">
        <f>+'Planlegging og Evaluering'!C20</f>
        <v>Årsavgift</v>
      </c>
      <c r="D56" s="111">
        <f t="shared" ref="D56:X56" si="13">+D43*D$62</f>
        <v>0</v>
      </c>
      <c r="E56" s="111">
        <f t="shared" si="13"/>
        <v>2187.5</v>
      </c>
      <c r="F56" s="111">
        <f t="shared" si="13"/>
        <v>2103.3653846153843</v>
      </c>
      <c r="G56" s="111">
        <f t="shared" si="13"/>
        <v>2022.4667159763312</v>
      </c>
      <c r="H56" s="111">
        <f t="shared" si="13"/>
        <v>1944.6795345926259</v>
      </c>
      <c r="I56" s="111">
        <f t="shared" si="13"/>
        <v>1869.8841678775248</v>
      </c>
      <c r="J56" s="111">
        <f t="shared" si="13"/>
        <v>1797.9655460360816</v>
      </c>
      <c r="K56" s="111">
        <f t="shared" si="13"/>
        <v>0</v>
      </c>
      <c r="L56" s="111">
        <f t="shared" si="13"/>
        <v>0</v>
      </c>
      <c r="M56" s="111">
        <f t="shared" si="13"/>
        <v>0</v>
      </c>
      <c r="N56" s="111">
        <f t="shared" si="13"/>
        <v>0</v>
      </c>
      <c r="O56" s="111">
        <f t="shared" si="13"/>
        <v>0</v>
      </c>
      <c r="P56" s="111">
        <f t="shared" si="13"/>
        <v>0</v>
      </c>
      <c r="Q56" s="111">
        <f t="shared" si="13"/>
        <v>0</v>
      </c>
      <c r="R56" s="111">
        <f t="shared" si="13"/>
        <v>0</v>
      </c>
      <c r="S56" s="111">
        <f t="shared" si="13"/>
        <v>0</v>
      </c>
      <c r="T56" s="111">
        <f t="shared" si="13"/>
        <v>0</v>
      </c>
      <c r="U56" s="111">
        <f t="shared" si="13"/>
        <v>0</v>
      </c>
      <c r="V56" s="111">
        <f t="shared" si="13"/>
        <v>0</v>
      </c>
      <c r="W56" s="111">
        <f t="shared" si="13"/>
        <v>0</v>
      </c>
      <c r="X56" s="111">
        <f t="shared" si="13"/>
        <v>0</v>
      </c>
      <c r="Y56" s="111">
        <f t="shared" si="9"/>
        <v>11925.861349097948</v>
      </c>
    </row>
    <row r="57" spans="2:25">
      <c r="B57" s="111" t="str">
        <f>+'Planlegging og Evaluering'!B21</f>
        <v>Driftsutgift 5 (per år)</v>
      </c>
      <c r="C57" s="111" t="str">
        <f>+'Planlegging og Evaluering'!C21</f>
        <v>Andre driftskostnader</v>
      </c>
      <c r="D57" s="111">
        <f>+D44*D$62</f>
        <v>0</v>
      </c>
      <c r="E57" s="111">
        <f t="shared" ref="E57:X57" si="14">+E44*E$62</f>
        <v>0</v>
      </c>
      <c r="F57" s="111">
        <f t="shared" si="14"/>
        <v>0</v>
      </c>
      <c r="G57" s="111">
        <f t="shared" si="14"/>
        <v>0</v>
      </c>
      <c r="H57" s="111">
        <f t="shared" si="14"/>
        <v>0</v>
      </c>
      <c r="I57" s="111">
        <f t="shared" si="14"/>
        <v>0</v>
      </c>
      <c r="J57" s="111">
        <f t="shared" si="14"/>
        <v>0</v>
      </c>
      <c r="K57" s="111">
        <f t="shared" si="14"/>
        <v>0</v>
      </c>
      <c r="L57" s="111">
        <f t="shared" si="14"/>
        <v>0</v>
      </c>
      <c r="M57" s="111">
        <f t="shared" si="14"/>
        <v>0</v>
      </c>
      <c r="N57" s="111">
        <f t="shared" si="14"/>
        <v>0</v>
      </c>
      <c r="O57" s="111">
        <f t="shared" si="14"/>
        <v>0</v>
      </c>
      <c r="P57" s="111">
        <f t="shared" si="14"/>
        <v>0</v>
      </c>
      <c r="Q57" s="111">
        <f t="shared" si="14"/>
        <v>0</v>
      </c>
      <c r="R57" s="111">
        <f t="shared" si="14"/>
        <v>0</v>
      </c>
      <c r="S57" s="111">
        <f t="shared" si="14"/>
        <v>0</v>
      </c>
      <c r="T57" s="111">
        <f t="shared" si="14"/>
        <v>0</v>
      </c>
      <c r="U57" s="111">
        <f t="shared" si="14"/>
        <v>0</v>
      </c>
      <c r="V57" s="111">
        <f t="shared" si="14"/>
        <v>0</v>
      </c>
      <c r="W57" s="111">
        <f t="shared" si="14"/>
        <v>0</v>
      </c>
      <c r="X57" s="111">
        <f t="shared" si="14"/>
        <v>0</v>
      </c>
      <c r="Y57" s="111">
        <f t="shared" si="9"/>
        <v>0</v>
      </c>
    </row>
    <row r="58" spans="2:25">
      <c r="B58" s="111" t="str">
        <f>+'Planlegging og Evaluering'!B24</f>
        <v>Avhendingskostnader/restverdier</v>
      </c>
      <c r="C58" s="111" t="str">
        <f>+'Planlegging og Evaluering'!C24</f>
        <v>Avhendingsutgifter - salgsinntekter</v>
      </c>
      <c r="D58" s="111">
        <f>+D45*D$62</f>
        <v>0</v>
      </c>
      <c r="E58" s="111">
        <f t="shared" ref="E58:X58" si="15">+E45*E$62</f>
        <v>0</v>
      </c>
      <c r="F58" s="111">
        <f t="shared" si="15"/>
        <v>0</v>
      </c>
      <c r="G58" s="111">
        <f t="shared" si="15"/>
        <v>0</v>
      </c>
      <c r="H58" s="111">
        <f t="shared" si="15"/>
        <v>0</v>
      </c>
      <c r="I58" s="111">
        <f t="shared" si="15"/>
        <v>0</v>
      </c>
      <c r="J58" s="111">
        <f t="shared" si="15"/>
        <v>-164648.85952711367</v>
      </c>
      <c r="K58" s="111">
        <f t="shared" si="15"/>
        <v>0</v>
      </c>
      <c r="L58" s="111">
        <f t="shared" si="15"/>
        <v>0</v>
      </c>
      <c r="M58" s="111">
        <f t="shared" si="15"/>
        <v>0</v>
      </c>
      <c r="N58" s="111">
        <f t="shared" si="15"/>
        <v>0</v>
      </c>
      <c r="O58" s="111">
        <f t="shared" si="15"/>
        <v>0</v>
      </c>
      <c r="P58" s="111">
        <f t="shared" si="15"/>
        <v>0</v>
      </c>
      <c r="Q58" s="111">
        <f t="shared" si="15"/>
        <v>0</v>
      </c>
      <c r="R58" s="111">
        <f t="shared" si="15"/>
        <v>0</v>
      </c>
      <c r="S58" s="111">
        <f t="shared" si="15"/>
        <v>0</v>
      </c>
      <c r="T58" s="111">
        <f t="shared" si="15"/>
        <v>0</v>
      </c>
      <c r="U58" s="111">
        <f t="shared" si="15"/>
        <v>0</v>
      </c>
      <c r="V58" s="111">
        <f t="shared" si="15"/>
        <v>0</v>
      </c>
      <c r="W58" s="111">
        <f t="shared" si="15"/>
        <v>0</v>
      </c>
      <c r="X58" s="111">
        <f t="shared" si="15"/>
        <v>0</v>
      </c>
      <c r="Y58" s="111">
        <f>SUM(D58:X58)</f>
        <v>-164648.85952711367</v>
      </c>
    </row>
    <row r="59" spans="2:25">
      <c r="B59" s="111"/>
      <c r="C59" s="111" t="s">
        <v>95</v>
      </c>
      <c r="D59" s="95">
        <f t="shared" ref="D59:X59" si="16">+D46*D$62</f>
        <v>1325000</v>
      </c>
      <c r="E59" s="95">
        <f>+E46*E$62</f>
        <v>92860.576923076922</v>
      </c>
      <c r="F59" s="95">
        <f t="shared" si="16"/>
        <v>89289.016272189343</v>
      </c>
      <c r="G59" s="95">
        <f t="shared" si="16"/>
        <v>85854.823338643604</v>
      </c>
      <c r="H59" s="95">
        <f>+H46*H$62</f>
        <v>82552.714748695755</v>
      </c>
      <c r="I59" s="95">
        <f t="shared" si="16"/>
        <v>79377.610335284378</v>
      </c>
      <c r="J59" s="95">
        <f t="shared" si="16"/>
        <v>-88324.234204724853</v>
      </c>
      <c r="K59" s="95">
        <f t="shared" si="16"/>
        <v>0</v>
      </c>
      <c r="L59" s="95">
        <f t="shared" si="16"/>
        <v>0</v>
      </c>
      <c r="M59" s="95">
        <f t="shared" si="16"/>
        <v>0</v>
      </c>
      <c r="N59" s="95">
        <f t="shared" si="16"/>
        <v>0</v>
      </c>
      <c r="O59" s="95">
        <f t="shared" si="16"/>
        <v>0</v>
      </c>
      <c r="P59" s="95">
        <f t="shared" si="16"/>
        <v>0</v>
      </c>
      <c r="Q59" s="95">
        <f t="shared" si="16"/>
        <v>0</v>
      </c>
      <c r="R59" s="95">
        <f t="shared" si="16"/>
        <v>0</v>
      </c>
      <c r="S59" s="95">
        <f t="shared" si="16"/>
        <v>0</v>
      </c>
      <c r="T59" s="95">
        <f t="shared" si="16"/>
        <v>0</v>
      </c>
      <c r="U59" s="95">
        <f t="shared" si="16"/>
        <v>0</v>
      </c>
      <c r="V59" s="95">
        <f t="shared" si="16"/>
        <v>0</v>
      </c>
      <c r="W59" s="95">
        <f t="shared" si="16"/>
        <v>0</v>
      </c>
      <c r="X59" s="95">
        <f t="shared" si="16"/>
        <v>0</v>
      </c>
      <c r="Y59" s="111">
        <f>SUM(D59:X59)</f>
        <v>1666610.5074131652</v>
      </c>
    </row>
    <row r="60" spans="2:25">
      <c r="B60" s="111"/>
      <c r="C60" s="111" t="s">
        <v>94</v>
      </c>
      <c r="D60" s="95">
        <f t="shared" ref="D60:X60" si="17">+D47-D59</f>
        <v>0</v>
      </c>
      <c r="E60" s="95">
        <f>+E47-E59</f>
        <v>0</v>
      </c>
      <c r="F60" s="95">
        <f t="shared" si="17"/>
        <v>0</v>
      </c>
      <c r="G60" s="95">
        <f t="shared" si="17"/>
        <v>0</v>
      </c>
      <c r="H60" s="95">
        <f t="shared" si="17"/>
        <v>0</v>
      </c>
      <c r="I60" s="95">
        <f t="shared" si="17"/>
        <v>0</v>
      </c>
      <c r="J60" s="95">
        <f t="shared" si="17"/>
        <v>0</v>
      </c>
      <c r="K60" s="95">
        <f t="shared" si="17"/>
        <v>0</v>
      </c>
      <c r="L60" s="95">
        <f t="shared" si="17"/>
        <v>0</v>
      </c>
      <c r="M60" s="95">
        <f t="shared" si="17"/>
        <v>0</v>
      </c>
      <c r="N60" s="95">
        <f t="shared" si="17"/>
        <v>0</v>
      </c>
      <c r="O60" s="95">
        <f t="shared" si="17"/>
        <v>0</v>
      </c>
      <c r="P60" s="95">
        <f t="shared" si="17"/>
        <v>0</v>
      </c>
      <c r="Q60" s="95">
        <f t="shared" si="17"/>
        <v>0</v>
      </c>
      <c r="R60" s="95">
        <f t="shared" si="17"/>
        <v>0</v>
      </c>
      <c r="S60" s="95">
        <f t="shared" si="17"/>
        <v>0</v>
      </c>
      <c r="T60" s="95">
        <f t="shared" si="17"/>
        <v>0</v>
      </c>
      <c r="U60" s="95">
        <f t="shared" si="17"/>
        <v>0</v>
      </c>
      <c r="V60" s="95">
        <f t="shared" si="17"/>
        <v>0</v>
      </c>
      <c r="W60" s="95">
        <f t="shared" si="17"/>
        <v>0</v>
      </c>
      <c r="X60" s="95">
        <f t="shared" si="17"/>
        <v>0</v>
      </c>
      <c r="Y60" s="111">
        <f t="shared" si="9"/>
        <v>0</v>
      </c>
    </row>
    <row r="61" spans="2:25">
      <c r="B61" s="36"/>
    </row>
    <row r="62" spans="2:25">
      <c r="B62" s="295" t="s">
        <v>88</v>
      </c>
      <c r="C62" s="295"/>
      <c r="D62" s="125">
        <f t="shared" ref="D62:X62" si="18">1/((1+Kalkulsjonsrente)^D36)</f>
        <v>1</v>
      </c>
      <c r="E62" s="125">
        <f>1/((1+Kalkulsjonsrente)^E36)</f>
        <v>0.96153846153846145</v>
      </c>
      <c r="F62" s="125">
        <f t="shared" si="18"/>
        <v>0.92455621301775137</v>
      </c>
      <c r="G62" s="125">
        <f t="shared" si="18"/>
        <v>0.88899635867091487</v>
      </c>
      <c r="H62" s="125">
        <f t="shared" si="18"/>
        <v>0.85480419102972571</v>
      </c>
      <c r="I62" s="125">
        <f t="shared" si="18"/>
        <v>0.82192710675935154</v>
      </c>
      <c r="J62" s="125">
        <f t="shared" si="18"/>
        <v>0.79031452573014571</v>
      </c>
      <c r="K62" s="125">
        <f t="shared" si="18"/>
        <v>0.75991781320206331</v>
      </c>
      <c r="L62" s="125">
        <f t="shared" si="18"/>
        <v>0.73069020500198378</v>
      </c>
      <c r="M62" s="125">
        <f t="shared" si="18"/>
        <v>0.70258673557883045</v>
      </c>
      <c r="N62" s="125">
        <f t="shared" si="18"/>
        <v>0.67556416882579851</v>
      </c>
      <c r="O62" s="125">
        <f t="shared" si="18"/>
        <v>0.6495809315632679</v>
      </c>
      <c r="P62" s="125">
        <f t="shared" si="18"/>
        <v>0.62459704958006512</v>
      </c>
      <c r="Q62" s="125">
        <f t="shared" si="18"/>
        <v>0.600574086134678</v>
      </c>
      <c r="R62" s="125">
        <f t="shared" si="18"/>
        <v>0.57747508282180582</v>
      </c>
      <c r="S62" s="125">
        <f t="shared" si="18"/>
        <v>0.55526450271327477</v>
      </c>
      <c r="T62" s="125">
        <f t="shared" si="18"/>
        <v>0.53390817568584104</v>
      </c>
      <c r="U62" s="125">
        <f t="shared" si="18"/>
        <v>0.51337324585177024</v>
      </c>
      <c r="V62" s="125">
        <f t="shared" si="18"/>
        <v>0.49362812101131748</v>
      </c>
      <c r="W62" s="125">
        <f t="shared" si="18"/>
        <v>0.47464242404934376</v>
      </c>
      <c r="X62" s="125">
        <f t="shared" si="18"/>
        <v>0.45638694620129205</v>
      </c>
      <c r="Y62" s="125"/>
    </row>
    <row r="63" spans="2:25">
      <c r="B63" s="295" t="s">
        <v>184</v>
      </c>
      <c r="C63" s="295"/>
      <c r="D63" s="125">
        <f t="shared" ref="D63:X63" si="19">(1+Justert_prisstigning)^D36</f>
        <v>1</v>
      </c>
      <c r="E63" s="125">
        <f t="shared" si="19"/>
        <v>1</v>
      </c>
      <c r="F63" s="125">
        <f t="shared" si="19"/>
        <v>1</v>
      </c>
      <c r="G63" s="125">
        <f t="shared" si="19"/>
        <v>1</v>
      </c>
      <c r="H63" s="125">
        <f t="shared" si="19"/>
        <v>1</v>
      </c>
      <c r="I63" s="125">
        <f t="shared" si="19"/>
        <v>1</v>
      </c>
      <c r="J63" s="125">
        <f t="shared" si="19"/>
        <v>1</v>
      </c>
      <c r="K63" s="125">
        <f t="shared" si="19"/>
        <v>1</v>
      </c>
      <c r="L63" s="125">
        <f t="shared" si="19"/>
        <v>1</v>
      </c>
      <c r="M63" s="125">
        <f t="shared" si="19"/>
        <v>1</v>
      </c>
      <c r="N63" s="125">
        <f t="shared" si="19"/>
        <v>1</v>
      </c>
      <c r="O63" s="125">
        <f t="shared" si="19"/>
        <v>1</v>
      </c>
      <c r="P63" s="125">
        <f t="shared" si="19"/>
        <v>1</v>
      </c>
      <c r="Q63" s="125">
        <f t="shared" si="19"/>
        <v>1</v>
      </c>
      <c r="R63" s="125">
        <f t="shared" si="19"/>
        <v>1</v>
      </c>
      <c r="S63" s="125">
        <f t="shared" si="19"/>
        <v>1</v>
      </c>
      <c r="T63" s="125">
        <f t="shared" si="19"/>
        <v>1</v>
      </c>
      <c r="U63" s="125">
        <f t="shared" si="19"/>
        <v>1</v>
      </c>
      <c r="V63" s="125">
        <f t="shared" si="19"/>
        <v>1</v>
      </c>
      <c r="W63" s="125">
        <f t="shared" si="19"/>
        <v>1</v>
      </c>
      <c r="X63" s="125">
        <f t="shared" si="19"/>
        <v>1</v>
      </c>
      <c r="Y63" s="125"/>
    </row>
    <row r="64" spans="2:25">
      <c r="B64" s="36"/>
    </row>
    <row r="65" spans="2:6">
      <c r="B65" s="116" t="str">
        <f>+'Planlegging og Evaluering'!B5</f>
        <v>Kalkulasjonsrente</v>
      </c>
      <c r="C65" s="120">
        <f>Kalkulsjonsrente</f>
        <v>0.04</v>
      </c>
      <c r="D65" s="281" t="s">
        <v>97</v>
      </c>
      <c r="E65" s="282"/>
      <c r="F65" s="283"/>
    </row>
    <row r="66" spans="2:6">
      <c r="B66" s="117" t="str">
        <f>+'Planlegging og Evaluering'!B6</f>
        <v>Levetid</v>
      </c>
      <c r="C66" s="121">
        <f>Levetid</f>
        <v>6</v>
      </c>
      <c r="D66" s="284"/>
      <c r="E66" s="285"/>
      <c r="F66" s="286"/>
    </row>
    <row r="67" spans="2:6">
      <c r="B67" s="118" t="s">
        <v>185</v>
      </c>
      <c r="C67" s="122">
        <f>Justert_prisstigning</f>
        <v>0</v>
      </c>
      <c r="D67" s="287"/>
      <c r="E67" s="288"/>
      <c r="F67" s="289"/>
    </row>
  </sheetData>
  <sheetProtection algorithmName="SHA-512" hashValue="g2c7iNUIfXLAkivmoKLx+u+IKlMQQP3B//u1Cnqv85urzf5Lx3gm2MAKree0vjF9tV10qZFH4l30wBF0XLzjGA==" saltValue="dedjgJS0/pBNpCJNc3HfMA==" spinCount="100000" sheet="1" objects="1" scenarios="1"/>
  <mergeCells count="8">
    <mergeCell ref="D65:F67"/>
    <mergeCell ref="B32:Y32"/>
    <mergeCell ref="C4:F4"/>
    <mergeCell ref="B29:C29"/>
    <mergeCell ref="B36:C36"/>
    <mergeCell ref="B49:C49"/>
    <mergeCell ref="B62:C62"/>
    <mergeCell ref="B63:C63"/>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tabColor rgb="FF00CCFF"/>
    <pageSetUpPr fitToPage="1"/>
  </sheetPr>
  <dimension ref="B1:J29"/>
  <sheetViews>
    <sheetView showGridLines="0" showZeros="0" zoomScaleNormal="100" workbookViewId="0">
      <selection activeCell="F18" sqref="F18"/>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8.1" customHeight="1">
      <c r="B2" s="210" t="s">
        <v>162</v>
      </c>
      <c r="C2" s="210"/>
      <c r="D2" s="210"/>
      <c r="E2" s="210"/>
      <c r="F2" s="210"/>
      <c r="G2" s="29"/>
    </row>
    <row r="3" spans="2:10">
      <c r="B3" s="211"/>
      <c r="C3" s="212"/>
      <c r="D3" s="211"/>
      <c r="E3" s="211"/>
      <c r="F3" s="211"/>
    </row>
    <row r="4" spans="2:10" s="4" customFormat="1">
      <c r="B4" s="213" t="s">
        <v>16</v>
      </c>
      <c r="C4" s="214" t="s">
        <v>142</v>
      </c>
      <c r="D4" s="213"/>
      <c r="E4" s="213"/>
      <c r="F4" s="213"/>
    </row>
    <row r="5" spans="2:10">
      <c r="B5" s="213" t="s">
        <v>17</v>
      </c>
      <c r="C5" s="215" t="s">
        <v>140</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177" t="s">
        <v>6</v>
      </c>
      <c r="C11" s="177" t="s">
        <v>5</v>
      </c>
      <c r="D11" s="177" t="s">
        <v>0</v>
      </c>
      <c r="E11" s="216" t="s">
        <v>166</v>
      </c>
      <c r="F11" s="177"/>
      <c r="G11" s="26" t="s">
        <v>2</v>
      </c>
      <c r="H11" s="5" t="s">
        <v>3</v>
      </c>
      <c r="I11" s="5" t="s">
        <v>10</v>
      </c>
      <c r="J11" s="5" t="s">
        <v>12</v>
      </c>
    </row>
    <row r="12" spans="2:10" ht="5.0999999999999996" customHeight="1">
      <c r="B12" s="217"/>
      <c r="C12" s="176"/>
      <c r="D12" s="176"/>
      <c r="E12" s="176"/>
      <c r="F12" s="176"/>
    </row>
    <row r="13" spans="2:10" s="3" customFormat="1">
      <c r="B13" s="218" t="s">
        <v>7</v>
      </c>
      <c r="C13" s="171" t="s">
        <v>131</v>
      </c>
      <c r="D13" s="171">
        <v>5</v>
      </c>
      <c r="E13" s="173">
        <v>259000</v>
      </c>
      <c r="F13" s="219">
        <f>+E13*D13</f>
        <v>1295000</v>
      </c>
      <c r="G13" s="7"/>
      <c r="H13" s="7"/>
      <c r="I13" s="7"/>
      <c r="J13" s="7"/>
    </row>
    <row r="14" spans="2:10" s="3" customFormat="1">
      <c r="B14" s="218" t="s">
        <v>8</v>
      </c>
      <c r="C14" s="171" t="s">
        <v>132</v>
      </c>
      <c r="D14" s="171">
        <v>5</v>
      </c>
      <c r="E14" s="173">
        <v>0</v>
      </c>
      <c r="F14" s="219">
        <f>+E14*D14</f>
        <v>0</v>
      </c>
      <c r="G14" s="7"/>
      <c r="H14" s="7"/>
      <c r="I14" s="7"/>
      <c r="J14" s="7"/>
    </row>
    <row r="15" spans="2:10" s="3" customFormat="1">
      <c r="B15" s="218" t="s">
        <v>9</v>
      </c>
      <c r="C15" s="171" t="s">
        <v>133</v>
      </c>
      <c r="D15" s="171">
        <v>0</v>
      </c>
      <c r="E15" s="173">
        <v>0</v>
      </c>
      <c r="F15" s="219">
        <f>+E15*D15</f>
        <v>0</v>
      </c>
      <c r="G15" s="7"/>
      <c r="H15" s="7"/>
      <c r="I15" s="7"/>
      <c r="J15" s="7"/>
    </row>
    <row r="16" spans="2:10" s="3" customFormat="1" ht="14.4" thickBot="1">
      <c r="B16" s="220" t="s">
        <v>14</v>
      </c>
      <c r="C16" s="192"/>
      <c r="D16" s="174"/>
      <c r="E16" s="175"/>
      <c r="F16" s="221">
        <f>SUM(F13:F15)</f>
        <v>1295000</v>
      </c>
      <c r="G16" s="9">
        <f>SUM(G13:G15)</f>
        <v>0</v>
      </c>
      <c r="H16" s="9">
        <f>SUM(H13:H15)</f>
        <v>0</v>
      </c>
      <c r="I16" s="9">
        <f>SUM(I13:I15)</f>
        <v>0</v>
      </c>
      <c r="J16" s="9">
        <f>SUM(J13:J15)</f>
        <v>0</v>
      </c>
    </row>
    <row r="17" spans="2:10" s="3" customFormat="1" ht="14.4" thickTop="1">
      <c r="B17" s="191"/>
      <c r="C17" s="192"/>
      <c r="D17" s="174"/>
      <c r="E17" s="175"/>
      <c r="F17" s="192"/>
    </row>
    <row r="18" spans="2:10" s="3" customFormat="1">
      <c r="B18" s="218" t="s">
        <v>177</v>
      </c>
      <c r="C18" s="171" t="s">
        <v>134</v>
      </c>
      <c r="D18" s="222">
        <v>5</v>
      </c>
      <c r="E18" s="173">
        <v>3392.9</v>
      </c>
      <c r="F18" s="219">
        <f>+E18*D18</f>
        <v>16964.5</v>
      </c>
      <c r="G18" s="7"/>
      <c r="H18" s="7"/>
      <c r="I18" s="7"/>
      <c r="J18" s="7"/>
    </row>
    <row r="19" spans="2:10" s="3" customFormat="1">
      <c r="B19" s="218" t="s">
        <v>178</v>
      </c>
      <c r="C19" s="171" t="s">
        <v>135</v>
      </c>
      <c r="D19" s="222">
        <v>5</v>
      </c>
      <c r="E19" s="173">
        <v>4403</v>
      </c>
      <c r="F19" s="219">
        <f>+E19*D19</f>
        <v>22015</v>
      </c>
      <c r="G19" s="7"/>
      <c r="H19" s="7"/>
      <c r="I19" s="7"/>
      <c r="J19" s="7"/>
    </row>
    <row r="20" spans="2:10" s="3" customFormat="1">
      <c r="B20" s="218" t="s">
        <v>182</v>
      </c>
      <c r="C20" s="164" t="s">
        <v>136</v>
      </c>
      <c r="D20" s="222">
        <v>8470</v>
      </c>
      <c r="E20" s="223">
        <v>0.96</v>
      </c>
      <c r="F20" s="219">
        <f>+E20*D20</f>
        <v>8131.2</v>
      </c>
      <c r="G20" s="7"/>
      <c r="H20" s="7"/>
      <c r="I20" s="7"/>
      <c r="J20" s="7"/>
    </row>
    <row r="21" spans="2:10" s="3" customFormat="1">
      <c r="B21" s="218" t="s">
        <v>180</v>
      </c>
      <c r="C21" s="171" t="s">
        <v>137</v>
      </c>
      <c r="D21" s="222">
        <v>5</v>
      </c>
      <c r="E21" s="173">
        <v>455</v>
      </c>
      <c r="F21" s="219">
        <f>+E21*D21</f>
        <v>2275</v>
      </c>
      <c r="G21" s="7"/>
      <c r="H21" s="7"/>
      <c r="I21" s="7"/>
      <c r="J21" s="7"/>
    </row>
    <row r="22" spans="2:10" s="3" customFormat="1">
      <c r="B22" s="218" t="s">
        <v>181</v>
      </c>
      <c r="C22" s="171" t="s">
        <v>138</v>
      </c>
      <c r="D22" s="222">
        <v>0</v>
      </c>
      <c r="E22" s="173">
        <v>0</v>
      </c>
      <c r="F22" s="219">
        <f>+E22*D22</f>
        <v>0</v>
      </c>
      <c r="G22" s="7"/>
      <c r="H22" s="7"/>
      <c r="I22" s="7"/>
      <c r="J22" s="7"/>
    </row>
    <row r="23" spans="2:10" s="3" customFormat="1" ht="14.4" thickBot="1">
      <c r="B23" s="220" t="s">
        <v>15</v>
      </c>
      <c r="C23" s="192"/>
      <c r="D23" s="174"/>
      <c r="E23" s="175"/>
      <c r="F23" s="221">
        <f>SUM(F18:F22)</f>
        <v>49385.7</v>
      </c>
      <c r="G23" s="9">
        <f>SUM(G18:G22)</f>
        <v>0</v>
      </c>
      <c r="H23" s="9">
        <f>SUM(H18:H22)</f>
        <v>0</v>
      </c>
      <c r="I23" s="9">
        <f>SUM(I18:I22)</f>
        <v>0</v>
      </c>
      <c r="J23" s="9">
        <f>SUM(J18:J22)</f>
        <v>0</v>
      </c>
    </row>
    <row r="24" spans="2:10" ht="14.4" thickTop="1">
      <c r="B24" s="217"/>
      <c r="C24" s="217"/>
      <c r="D24" s="176"/>
      <c r="E24" s="176"/>
      <c r="F24" s="176"/>
    </row>
    <row r="25" spans="2:10" ht="14.4" thickBot="1">
      <c r="B25" s="218" t="s">
        <v>158</v>
      </c>
      <c r="C25" s="171" t="s">
        <v>139</v>
      </c>
      <c r="D25" s="222">
        <v>5</v>
      </c>
      <c r="E25" s="173">
        <v>-43166.666666666664</v>
      </c>
      <c r="F25" s="221">
        <f>+E25*D25</f>
        <v>-215833.33333333331</v>
      </c>
    </row>
    <row r="26" spans="2:10" ht="14.4" thickTop="1">
      <c r="C26" s="10"/>
      <c r="D26" s="10"/>
    </row>
    <row r="27" spans="2:10">
      <c r="C27" s="10"/>
    </row>
    <row r="28" spans="2:10">
      <c r="C28" s="10"/>
    </row>
    <row r="29" spans="2:10">
      <c r="C29" s="10"/>
    </row>
  </sheetData>
  <sheetProtection algorithmName="SHA-512" hashValue="R5XEzIgbipkX4yypDS+nNPaswuDo7lpgSAlkBR1sE9U5blcF4XUuQuH/GF0uzdpZZ3ko1Yx8+OME5HOrg8Lc0w==" saltValue="HYRF3aPWBFEdV7Zxs3Q33Q=="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tabColor rgb="FF00CCFF"/>
    <pageSetUpPr fitToPage="1"/>
  </sheetPr>
  <dimension ref="B1:J26"/>
  <sheetViews>
    <sheetView showGridLines="0" showZeros="0" zoomScaleNormal="100" workbookViewId="0">
      <selection activeCell="C4" sqref="C4:F4"/>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8.1" customHeight="1">
      <c r="B2" s="89" t="s">
        <v>162</v>
      </c>
      <c r="C2" s="89"/>
      <c r="D2" s="89"/>
      <c r="E2" s="89"/>
      <c r="F2" s="89"/>
      <c r="G2" s="29"/>
    </row>
    <row r="3" spans="2:10">
      <c r="D3" s="10"/>
      <c r="E3" s="10"/>
      <c r="F3" s="10"/>
    </row>
    <row r="4" spans="2:10" s="4" customFormat="1">
      <c r="B4" s="34" t="s">
        <v>16</v>
      </c>
      <c r="C4" s="35" t="s">
        <v>143</v>
      </c>
      <c r="D4" s="34"/>
      <c r="E4" s="34"/>
      <c r="F4" s="34"/>
    </row>
    <row r="5" spans="2:10">
      <c r="B5" s="34" t="s">
        <v>17</v>
      </c>
      <c r="C5" s="34" t="s">
        <v>141</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0" t="s">
        <v>6</v>
      </c>
      <c r="C11" s="90" t="s">
        <v>5</v>
      </c>
      <c r="D11" s="90" t="s">
        <v>0</v>
      </c>
      <c r="E11" s="199" t="s">
        <v>166</v>
      </c>
      <c r="F11" s="90"/>
      <c r="G11" s="26" t="s">
        <v>2</v>
      </c>
      <c r="H11" s="5" t="s">
        <v>3</v>
      </c>
      <c r="I11" s="5" t="s">
        <v>10</v>
      </c>
      <c r="J11" s="5" t="s">
        <v>12</v>
      </c>
    </row>
    <row r="12" spans="2:10" ht="5.0999999999999996" customHeight="1">
      <c r="B12" s="114"/>
      <c r="C12" s="111"/>
      <c r="D12" s="111"/>
      <c r="E12" s="111"/>
      <c r="F12" s="111"/>
    </row>
    <row r="13" spans="2:10" s="3" customFormat="1">
      <c r="B13" s="115" t="s">
        <v>7</v>
      </c>
      <c r="C13" s="37" t="s">
        <v>131</v>
      </c>
      <c r="D13" s="37">
        <v>5</v>
      </c>
      <c r="E13" s="39">
        <v>289900</v>
      </c>
      <c r="F13" s="112">
        <f>+E13*D13</f>
        <v>1449500</v>
      </c>
      <c r="G13" s="7"/>
      <c r="H13" s="7"/>
      <c r="I13" s="7"/>
      <c r="J13" s="7"/>
    </row>
    <row r="14" spans="2:10" s="3" customFormat="1">
      <c r="B14" s="115" t="s">
        <v>8</v>
      </c>
      <c r="C14" s="37" t="s">
        <v>132</v>
      </c>
      <c r="D14" s="37">
        <v>5</v>
      </c>
      <c r="E14" s="39">
        <v>0</v>
      </c>
      <c r="F14" s="112">
        <f>+E14*D14</f>
        <v>0</v>
      </c>
      <c r="G14" s="7"/>
      <c r="H14" s="7"/>
      <c r="I14" s="7"/>
      <c r="J14" s="7"/>
    </row>
    <row r="15" spans="2:10" s="3" customFormat="1">
      <c r="B15" s="115" t="s">
        <v>9</v>
      </c>
      <c r="C15" s="37" t="s">
        <v>133</v>
      </c>
      <c r="D15" s="37">
        <v>0</v>
      </c>
      <c r="E15" s="39">
        <v>0</v>
      </c>
      <c r="F15" s="112">
        <f>+E15*D15</f>
        <v>0</v>
      </c>
      <c r="G15" s="7"/>
      <c r="H15" s="7"/>
      <c r="I15" s="7"/>
      <c r="J15" s="7"/>
    </row>
    <row r="16" spans="2:10" s="3" customFormat="1" ht="14.4" thickBot="1">
      <c r="B16" s="97" t="s">
        <v>14</v>
      </c>
      <c r="C16" s="95"/>
      <c r="D16" s="104"/>
      <c r="E16" s="99"/>
      <c r="F16" s="113">
        <f>SUM(F13:F15)</f>
        <v>1449500</v>
      </c>
      <c r="G16" s="9">
        <f>SUM(G13:G15)</f>
        <v>0</v>
      </c>
      <c r="H16" s="9">
        <f>SUM(H13:H15)</f>
        <v>0</v>
      </c>
      <c r="I16" s="9">
        <f>SUM(I13:I15)</f>
        <v>0</v>
      </c>
      <c r="J16" s="9">
        <f>SUM(J13:J15)</f>
        <v>0</v>
      </c>
    </row>
    <row r="17" spans="2:10" s="3" customFormat="1" ht="14.4" thickTop="1">
      <c r="B17" s="93"/>
      <c r="C17" s="95"/>
      <c r="D17" s="104"/>
      <c r="E17" s="99"/>
      <c r="F17" s="95"/>
    </row>
    <row r="18" spans="2:10" s="3" customFormat="1">
      <c r="B18" s="115" t="s">
        <v>177</v>
      </c>
      <c r="C18" s="37" t="s">
        <v>134</v>
      </c>
      <c r="D18" s="82">
        <v>5</v>
      </c>
      <c r="E18" s="39">
        <v>3797.69</v>
      </c>
      <c r="F18" s="112">
        <f>+E18*D18</f>
        <v>18988.45</v>
      </c>
      <c r="G18" s="7"/>
      <c r="H18" s="7"/>
      <c r="I18" s="7"/>
      <c r="J18" s="7"/>
    </row>
    <row r="19" spans="2:10" s="3" customFormat="1">
      <c r="B19" s="115" t="s">
        <v>178</v>
      </c>
      <c r="C19" s="37" t="s">
        <v>135</v>
      </c>
      <c r="D19" s="82">
        <v>5</v>
      </c>
      <c r="E19" s="39">
        <v>4928.3</v>
      </c>
      <c r="F19" s="112">
        <f>+E19*D19</f>
        <v>24641.5</v>
      </c>
      <c r="G19" s="7"/>
      <c r="H19" s="7"/>
      <c r="I19" s="7"/>
      <c r="J19" s="7"/>
    </row>
    <row r="20" spans="2:10" s="3" customFormat="1">
      <c r="B20" s="115" t="s">
        <v>182</v>
      </c>
      <c r="C20" s="31" t="s">
        <v>136</v>
      </c>
      <c r="D20" s="82">
        <f>1400*5*1.56</f>
        <v>10920</v>
      </c>
      <c r="E20" s="86">
        <v>0.96</v>
      </c>
      <c r="F20" s="112">
        <f>+E20*D20</f>
        <v>10483.199999999999</v>
      </c>
      <c r="G20" s="7"/>
      <c r="H20" s="7"/>
      <c r="I20" s="7"/>
      <c r="J20" s="7"/>
    </row>
    <row r="21" spans="2:10" s="3" customFormat="1">
      <c r="B21" s="115" t="s">
        <v>180</v>
      </c>
      <c r="C21" s="37" t="s">
        <v>137</v>
      </c>
      <c r="D21" s="82">
        <v>5</v>
      </c>
      <c r="E21" s="39">
        <v>455</v>
      </c>
      <c r="F21" s="112">
        <f>+E21*D21</f>
        <v>2275</v>
      </c>
      <c r="G21" s="7"/>
      <c r="H21" s="7"/>
      <c r="I21" s="7"/>
      <c r="J21" s="7"/>
    </row>
    <row r="22" spans="2:10" s="3" customFormat="1">
      <c r="B22" s="115" t="s">
        <v>181</v>
      </c>
      <c r="C22" s="37" t="s">
        <v>138</v>
      </c>
      <c r="D22" s="82">
        <v>0</v>
      </c>
      <c r="E22" s="39"/>
      <c r="F22" s="112">
        <f>+E22*D22</f>
        <v>0</v>
      </c>
      <c r="G22" s="7"/>
      <c r="H22" s="7"/>
      <c r="I22" s="7"/>
      <c r="J22" s="7"/>
    </row>
    <row r="23" spans="2:10" s="3" customFormat="1" ht="14.4" thickBot="1">
      <c r="B23" s="97" t="s">
        <v>15</v>
      </c>
      <c r="C23" s="95"/>
      <c r="D23" s="104"/>
      <c r="E23" s="99"/>
      <c r="F23" s="113">
        <f>SUM(F18:F22)</f>
        <v>56388.149999999994</v>
      </c>
      <c r="G23" s="9">
        <f>SUM(G18:G22)</f>
        <v>0</v>
      </c>
      <c r="H23" s="9">
        <f>SUM(H18:H22)</f>
        <v>0</v>
      </c>
      <c r="I23" s="9">
        <f>SUM(I18:I22)</f>
        <v>0</v>
      </c>
      <c r="J23" s="9">
        <f>SUM(J18:J22)</f>
        <v>0</v>
      </c>
    </row>
    <row r="24" spans="2:10" ht="14.4" thickTop="1">
      <c r="B24" s="114"/>
      <c r="C24" s="114"/>
      <c r="D24" s="111"/>
      <c r="E24" s="111"/>
      <c r="F24" s="111"/>
    </row>
    <row r="25" spans="2:10" ht="14.4" thickBot="1">
      <c r="B25" s="115" t="s">
        <v>158</v>
      </c>
      <c r="C25" s="37" t="s">
        <v>139</v>
      </c>
      <c r="D25" s="82">
        <v>5</v>
      </c>
      <c r="E25" s="39">
        <v>-48316.666666666664</v>
      </c>
      <c r="F25" s="113">
        <f>+E25*D25</f>
        <v>-241583.33333333331</v>
      </c>
    </row>
    <row r="26" spans="2:10" ht="14.4" thickTop="1"/>
  </sheetData>
  <sheetProtection algorithmName="SHA-512" hashValue="D6uO7SiutZApZx9lgyEfPP4IewT83ySPBpMWurpTgCcPNLosTYAF64lWfBq69arfVpChwmWH3Zj5wjp9BIOVBg==" saltValue="ND8ZvFzvURkT7aZgL0UdZA=="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tabColor rgb="FF00CCFF"/>
    <pageSetUpPr fitToPage="1"/>
  </sheetPr>
  <dimension ref="B1:J26"/>
  <sheetViews>
    <sheetView showGridLines="0" showZeros="0" zoomScaleNormal="100" workbookViewId="0">
      <selection activeCell="C4" sqref="C4:F4"/>
    </sheetView>
  </sheetViews>
  <sheetFormatPr baseColWidth="10" defaultColWidth="17.44140625" defaultRowHeight="13.8"/>
  <cols>
    <col min="1" max="1" width="3.44140625" style="2" customWidth="1"/>
    <col min="2" max="2" width="26.88671875" style="10" customWidth="1"/>
    <col min="3" max="3" width="66.109375" style="2" bestFit="1"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8.1" customHeight="1">
      <c r="B2" s="89" t="s">
        <v>162</v>
      </c>
      <c r="C2" s="89"/>
      <c r="D2" s="89"/>
      <c r="E2" s="89"/>
      <c r="F2" s="89"/>
      <c r="G2" s="29"/>
    </row>
    <row r="3" spans="2:10">
      <c r="D3" s="10"/>
      <c r="E3" s="10"/>
      <c r="F3" s="10"/>
    </row>
    <row r="4" spans="2:10" s="4" customFormat="1">
      <c r="B4" s="34" t="s">
        <v>16</v>
      </c>
      <c r="C4" s="35" t="s">
        <v>142</v>
      </c>
      <c r="D4" s="34"/>
      <c r="E4" s="34"/>
      <c r="F4" s="34"/>
    </row>
    <row r="5" spans="2:10">
      <c r="B5" s="34" t="s">
        <v>17</v>
      </c>
      <c r="C5" s="34" t="s">
        <v>144</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0" t="s">
        <v>6</v>
      </c>
      <c r="C11" s="90" t="s">
        <v>5</v>
      </c>
      <c r="D11" s="90" t="s">
        <v>0</v>
      </c>
      <c r="E11" s="199" t="s">
        <v>166</v>
      </c>
      <c r="F11" s="90"/>
      <c r="G11" s="26" t="s">
        <v>2</v>
      </c>
      <c r="H11" s="5" t="s">
        <v>3</v>
      </c>
      <c r="I11" s="5" t="s">
        <v>10</v>
      </c>
      <c r="J11" s="5" t="s">
        <v>12</v>
      </c>
    </row>
    <row r="12" spans="2:10" ht="5.0999999999999996" customHeight="1">
      <c r="B12" s="114"/>
      <c r="C12" s="111"/>
      <c r="D12" s="111"/>
      <c r="E12" s="111"/>
      <c r="F12" s="111"/>
    </row>
    <row r="13" spans="2:10" s="3" customFormat="1">
      <c r="B13" s="115" t="s">
        <v>7</v>
      </c>
      <c r="C13" s="37" t="s">
        <v>131</v>
      </c>
      <c r="D13" s="37">
        <v>5</v>
      </c>
      <c r="E13" s="39">
        <v>204990</v>
      </c>
      <c r="F13" s="112">
        <f>+E13*D13</f>
        <v>1024950</v>
      </c>
      <c r="G13" s="7"/>
      <c r="H13" s="7"/>
      <c r="I13" s="7"/>
      <c r="J13" s="7"/>
    </row>
    <row r="14" spans="2:10" s="3" customFormat="1">
      <c r="B14" s="115" t="s">
        <v>8</v>
      </c>
      <c r="C14" s="37" t="s">
        <v>132</v>
      </c>
      <c r="D14" s="37">
        <v>5</v>
      </c>
      <c r="E14" s="39">
        <v>0</v>
      </c>
      <c r="F14" s="112">
        <f>+E14*D14</f>
        <v>0</v>
      </c>
      <c r="G14" s="7"/>
      <c r="H14" s="7"/>
      <c r="I14" s="7"/>
      <c r="J14" s="7"/>
    </row>
    <row r="15" spans="2:10" s="3" customFormat="1">
      <c r="B15" s="115" t="s">
        <v>9</v>
      </c>
      <c r="C15" s="37" t="s">
        <v>160</v>
      </c>
      <c r="D15" s="37">
        <v>1</v>
      </c>
      <c r="E15" s="39">
        <v>188960.35345481391</v>
      </c>
      <c r="F15" s="112">
        <f>+E15*D15</f>
        <v>188960.35345481391</v>
      </c>
      <c r="G15" s="7"/>
      <c r="H15" s="7"/>
      <c r="I15" s="7"/>
      <c r="J15" s="7"/>
    </row>
    <row r="16" spans="2:10" s="3" customFormat="1" ht="14.4" thickBot="1">
      <c r="B16" s="97" t="s">
        <v>14</v>
      </c>
      <c r="C16" s="95"/>
      <c r="D16" s="104"/>
      <c r="E16" s="99"/>
      <c r="F16" s="194">
        <f>SUM(F13:F15)</f>
        <v>1213910.3534548138</v>
      </c>
      <c r="G16" s="9">
        <f>SUM(G13:G15)</f>
        <v>0</v>
      </c>
      <c r="H16" s="9">
        <f>SUM(H13:H15)</f>
        <v>0</v>
      </c>
      <c r="I16" s="9">
        <f>SUM(I13:I15)</f>
        <v>0</v>
      </c>
      <c r="J16" s="9">
        <f>SUM(J13:J15)</f>
        <v>0</v>
      </c>
    </row>
    <row r="17" spans="2:10" s="3" customFormat="1" ht="14.4" thickTop="1">
      <c r="B17" s="93"/>
      <c r="C17" s="95"/>
      <c r="D17" s="104"/>
      <c r="E17" s="99"/>
      <c r="F17" s="95"/>
    </row>
    <row r="18" spans="2:10" s="3" customFormat="1">
      <c r="B18" s="115" t="s">
        <v>177</v>
      </c>
      <c r="C18" s="37" t="s">
        <v>134</v>
      </c>
      <c r="D18" s="82">
        <v>5</v>
      </c>
      <c r="E18" s="39"/>
      <c r="F18" s="112">
        <f>+E18*D18</f>
        <v>0</v>
      </c>
      <c r="G18" s="7"/>
      <c r="H18" s="7"/>
      <c r="I18" s="7"/>
      <c r="J18" s="7"/>
    </row>
    <row r="19" spans="2:10" s="3" customFormat="1">
      <c r="B19" s="115" t="s">
        <v>178</v>
      </c>
      <c r="C19" s="37" t="s">
        <v>135</v>
      </c>
      <c r="D19" s="82">
        <v>5</v>
      </c>
      <c r="E19" s="39"/>
      <c r="F19" s="112">
        <f>+E19*D19</f>
        <v>0</v>
      </c>
      <c r="G19" s="7"/>
      <c r="H19" s="7"/>
      <c r="I19" s="7"/>
      <c r="J19" s="7"/>
    </row>
    <row r="20" spans="2:10" s="3" customFormat="1">
      <c r="B20" s="115" t="s">
        <v>182</v>
      </c>
      <c r="C20" s="31" t="s">
        <v>136</v>
      </c>
      <c r="D20" s="82">
        <v>10500</v>
      </c>
      <c r="E20" s="86">
        <v>0.96</v>
      </c>
      <c r="F20" s="112">
        <f>+E20*D20</f>
        <v>10080</v>
      </c>
      <c r="G20" s="7"/>
      <c r="H20" s="7"/>
      <c r="I20" s="7"/>
      <c r="J20" s="7"/>
    </row>
    <row r="21" spans="2:10" s="3" customFormat="1">
      <c r="B21" s="115" t="s">
        <v>180</v>
      </c>
      <c r="C21" s="37" t="s">
        <v>137</v>
      </c>
      <c r="D21" s="82">
        <v>5</v>
      </c>
      <c r="E21" s="39"/>
      <c r="F21" s="112">
        <f>+E21*D21</f>
        <v>0</v>
      </c>
      <c r="G21" s="7"/>
      <c r="H21" s="7"/>
      <c r="I21" s="7"/>
      <c r="J21" s="7"/>
    </row>
    <row r="22" spans="2:10" s="3" customFormat="1">
      <c r="B22" s="115" t="s">
        <v>181</v>
      </c>
      <c r="C22" s="37" t="s">
        <v>138</v>
      </c>
      <c r="D22" s="82">
        <v>5</v>
      </c>
      <c r="E22" s="39">
        <v>0</v>
      </c>
      <c r="F22" s="112">
        <f>+E22*D22</f>
        <v>0</v>
      </c>
      <c r="G22" s="7"/>
      <c r="H22" s="7"/>
      <c r="I22" s="7"/>
      <c r="J22" s="7"/>
    </row>
    <row r="23" spans="2:10" s="3" customFormat="1" ht="14.4" thickBot="1">
      <c r="B23" s="97" t="s">
        <v>15</v>
      </c>
      <c r="C23" s="95"/>
      <c r="D23" s="104"/>
      <c r="E23" s="99"/>
      <c r="F23" s="113">
        <f>SUM(F18:F22)</f>
        <v>10080</v>
      </c>
      <c r="G23" s="9">
        <f>SUM(G18:G22)</f>
        <v>0</v>
      </c>
      <c r="H23" s="9">
        <f>SUM(H18:H22)</f>
        <v>0</v>
      </c>
      <c r="I23" s="9">
        <f>SUM(I18:I22)</f>
        <v>0</v>
      </c>
      <c r="J23" s="9">
        <f>SUM(J18:J22)</f>
        <v>0</v>
      </c>
    </row>
    <row r="24" spans="2:10" ht="14.4" thickTop="1">
      <c r="B24" s="114"/>
      <c r="C24" s="114"/>
      <c r="D24" s="111"/>
      <c r="E24" s="111"/>
      <c r="F24" s="111"/>
    </row>
    <row r="25" spans="2:10" ht="14.4" thickBot="1">
      <c r="B25" s="115" t="s">
        <v>158</v>
      </c>
      <c r="C25" s="37" t="s">
        <v>139</v>
      </c>
      <c r="D25" s="82">
        <v>5</v>
      </c>
      <c r="E25" s="39">
        <v>-34165</v>
      </c>
      <c r="F25" s="113">
        <f>+E25*D25</f>
        <v>-170825</v>
      </c>
    </row>
    <row r="26" spans="2:10" ht="14.4" thickTop="1"/>
  </sheetData>
  <sheetProtection algorithmName="SHA-512" hashValue="JyWsg/iDNdfq6b4ayxugk1Zt+dHdBOAPEKqysejHtdYSqZUIHAxllw8PM9+1Wv+OydrrggwvHoUajOf7udC7XA==" saltValue="Lqo0Phjvuh+NuCV6GylT7A=="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7">
    <tabColor rgb="FF00CCFF"/>
    <pageSetUpPr fitToPage="1"/>
  </sheetPr>
  <dimension ref="B1:J26"/>
  <sheetViews>
    <sheetView showGridLines="0" showZeros="0" zoomScaleNormal="100" workbookViewId="0">
      <selection activeCell="C8" sqref="C8"/>
    </sheetView>
  </sheetViews>
  <sheetFormatPr baseColWidth="10" defaultColWidth="17.44140625" defaultRowHeight="13.8"/>
  <cols>
    <col min="1" max="1" width="3.44140625" style="2" customWidth="1"/>
    <col min="2" max="2" width="26.88671875" style="10" customWidth="1"/>
    <col min="3" max="3" width="49.109375" style="2" customWidth="1"/>
    <col min="4" max="6" width="16.44140625" style="2" customWidth="1"/>
    <col min="7" max="10" width="12" style="2" hidden="1" customWidth="1"/>
    <col min="11" max="21" width="8.44140625" style="2" bestFit="1" customWidth="1"/>
    <col min="22" max="16384" width="17.44140625" style="2"/>
  </cols>
  <sheetData>
    <row r="1" spans="2:10" ht="13.5" customHeight="1"/>
    <row r="2" spans="2:10" ht="38.1" customHeight="1">
      <c r="B2" s="89" t="s">
        <v>162</v>
      </c>
      <c r="C2" s="89"/>
      <c r="D2" s="89"/>
      <c r="E2" s="89"/>
      <c r="F2" s="89"/>
      <c r="G2" s="29"/>
    </row>
    <row r="3" spans="2:10">
      <c r="D3" s="10"/>
      <c r="E3" s="10"/>
      <c r="F3" s="10"/>
    </row>
    <row r="4" spans="2:10" s="4" customFormat="1">
      <c r="B4" s="34" t="s">
        <v>16</v>
      </c>
      <c r="C4" s="35" t="s">
        <v>142</v>
      </c>
      <c r="D4" s="34"/>
      <c r="E4" s="34"/>
      <c r="F4" s="34"/>
    </row>
    <row r="5" spans="2:10">
      <c r="B5" s="34" t="s">
        <v>17</v>
      </c>
      <c r="C5" s="34" t="s">
        <v>145</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0" t="s">
        <v>6</v>
      </c>
      <c r="C11" s="90" t="s">
        <v>5</v>
      </c>
      <c r="D11" s="90" t="s">
        <v>0</v>
      </c>
      <c r="E11" s="199" t="s">
        <v>166</v>
      </c>
      <c r="F11" s="90"/>
      <c r="G11" s="26" t="s">
        <v>2</v>
      </c>
      <c r="H11" s="5" t="s">
        <v>3</v>
      </c>
      <c r="I11" s="5" t="s">
        <v>10</v>
      </c>
      <c r="J11" s="5" t="s">
        <v>12</v>
      </c>
    </row>
    <row r="12" spans="2:10" ht="5.0999999999999996" customHeight="1">
      <c r="B12" s="114"/>
      <c r="C12" s="111"/>
      <c r="D12" s="111"/>
      <c r="E12" s="111"/>
      <c r="F12" s="111"/>
    </row>
    <row r="13" spans="2:10" s="3" customFormat="1">
      <c r="B13" s="115" t="s">
        <v>7</v>
      </c>
      <c r="C13" s="37" t="s">
        <v>131</v>
      </c>
      <c r="D13" s="37">
        <v>5</v>
      </c>
      <c r="E13" s="39">
        <v>229400</v>
      </c>
      <c r="F13" s="112">
        <f>+E13*D13</f>
        <v>1147000</v>
      </c>
      <c r="G13" s="7"/>
      <c r="H13" s="7"/>
      <c r="I13" s="7"/>
      <c r="J13" s="7"/>
    </row>
    <row r="14" spans="2:10" s="3" customFormat="1">
      <c r="B14" s="115" t="s">
        <v>8</v>
      </c>
      <c r="C14" s="37" t="s">
        <v>132</v>
      </c>
      <c r="D14" s="37">
        <v>5</v>
      </c>
      <c r="E14" s="39">
        <v>0</v>
      </c>
      <c r="F14" s="112">
        <f>+E14*D14</f>
        <v>0</v>
      </c>
      <c r="G14" s="7"/>
      <c r="H14" s="7"/>
      <c r="I14" s="7"/>
      <c r="J14" s="7"/>
    </row>
    <row r="15" spans="2:10" s="3" customFormat="1">
      <c r="B15" s="115" t="s">
        <v>9</v>
      </c>
      <c r="C15" s="37" t="s">
        <v>133</v>
      </c>
      <c r="D15" s="37">
        <v>0</v>
      </c>
      <c r="E15" s="39">
        <v>0</v>
      </c>
      <c r="F15" s="112">
        <f>+E15*D15</f>
        <v>0</v>
      </c>
      <c r="G15" s="7"/>
      <c r="H15" s="7"/>
      <c r="I15" s="7"/>
      <c r="J15" s="7"/>
    </row>
    <row r="16" spans="2:10" s="3" customFormat="1" ht="14.4" thickBot="1">
      <c r="B16" s="97" t="s">
        <v>14</v>
      </c>
      <c r="C16" s="95"/>
      <c r="D16" s="104"/>
      <c r="E16" s="99"/>
      <c r="F16" s="113">
        <f>SUM(F13:F15)</f>
        <v>1147000</v>
      </c>
      <c r="G16" s="9">
        <f>SUM(G13:G15)</f>
        <v>0</v>
      </c>
      <c r="H16" s="9">
        <f>SUM(H13:H15)</f>
        <v>0</v>
      </c>
      <c r="I16" s="9">
        <f>SUM(I13:I15)</f>
        <v>0</v>
      </c>
      <c r="J16" s="9">
        <f>SUM(J13:J15)</f>
        <v>0</v>
      </c>
    </row>
    <row r="17" spans="2:10" s="3" customFormat="1" ht="14.4" thickTop="1">
      <c r="B17" s="93"/>
      <c r="C17" s="95"/>
      <c r="D17" s="104"/>
      <c r="E17" s="99"/>
      <c r="F17" s="95"/>
    </row>
    <row r="18" spans="2:10" s="3" customFormat="1">
      <c r="B18" s="115" t="s">
        <v>177</v>
      </c>
      <c r="C18" s="37" t="s">
        <v>134</v>
      </c>
      <c r="D18" s="82">
        <v>5</v>
      </c>
      <c r="E18" s="39">
        <v>3000</v>
      </c>
      <c r="F18" s="112">
        <f>+E18*D18</f>
        <v>15000</v>
      </c>
      <c r="G18" s="7"/>
      <c r="H18" s="7"/>
      <c r="I18" s="7"/>
      <c r="J18" s="7"/>
    </row>
    <row r="19" spans="2:10" s="3" customFormat="1">
      <c r="B19" s="115" t="s">
        <v>178</v>
      </c>
      <c r="C19" s="37" t="s">
        <v>135</v>
      </c>
      <c r="D19" s="82">
        <v>5</v>
      </c>
      <c r="E19" s="39">
        <v>3899.8</v>
      </c>
      <c r="F19" s="112">
        <f>+E19*D19</f>
        <v>19499</v>
      </c>
      <c r="G19" s="7"/>
      <c r="H19" s="7"/>
      <c r="I19" s="7"/>
      <c r="J19" s="7"/>
    </row>
    <row r="20" spans="2:10" s="3" customFormat="1">
      <c r="B20" s="115" t="s">
        <v>182</v>
      </c>
      <c r="C20" s="31" t="s">
        <v>136</v>
      </c>
      <c r="D20" s="82">
        <v>9310</v>
      </c>
      <c r="E20" s="86">
        <v>0.96</v>
      </c>
      <c r="F20" s="112">
        <f>+E20*D20</f>
        <v>8937.6</v>
      </c>
      <c r="G20" s="7"/>
      <c r="H20" s="7"/>
      <c r="I20" s="7"/>
      <c r="J20" s="7"/>
    </row>
    <row r="21" spans="2:10" s="3" customFormat="1">
      <c r="B21" s="115" t="s">
        <v>180</v>
      </c>
      <c r="C21" s="37" t="s">
        <v>137</v>
      </c>
      <c r="D21" s="82">
        <v>5</v>
      </c>
      <c r="E21" s="39">
        <v>455</v>
      </c>
      <c r="F21" s="112">
        <f>+E21*D21</f>
        <v>2275</v>
      </c>
      <c r="G21" s="7"/>
      <c r="H21" s="7"/>
      <c r="I21" s="7"/>
      <c r="J21" s="7"/>
    </row>
    <row r="22" spans="2:10" s="3" customFormat="1">
      <c r="B22" s="115" t="s">
        <v>181</v>
      </c>
      <c r="C22" s="37" t="s">
        <v>138</v>
      </c>
      <c r="D22" s="82">
        <v>0</v>
      </c>
      <c r="E22" s="39"/>
      <c r="F22" s="112">
        <f>+E22*D22</f>
        <v>0</v>
      </c>
      <c r="G22" s="7"/>
      <c r="H22" s="7"/>
      <c r="I22" s="7"/>
      <c r="J22" s="7"/>
    </row>
    <row r="23" spans="2:10" s="3" customFormat="1" ht="14.4" thickBot="1">
      <c r="B23" s="97" t="s">
        <v>15</v>
      </c>
      <c r="C23" s="95"/>
      <c r="D23" s="104"/>
      <c r="E23" s="99"/>
      <c r="F23" s="113">
        <f>SUM(F18:F22)</f>
        <v>45711.6</v>
      </c>
      <c r="G23" s="9">
        <f>SUM(G18:G22)</f>
        <v>0</v>
      </c>
      <c r="H23" s="9">
        <f>SUM(H18:H22)</f>
        <v>0</v>
      </c>
      <c r="I23" s="9">
        <f>SUM(I18:I22)</f>
        <v>0</v>
      </c>
      <c r="J23" s="9">
        <f>SUM(J18:J22)</f>
        <v>0</v>
      </c>
    </row>
    <row r="24" spans="2:10" ht="14.4" thickTop="1">
      <c r="B24" s="114"/>
      <c r="C24" s="114"/>
      <c r="D24" s="111"/>
      <c r="E24" s="111"/>
      <c r="F24" s="111"/>
    </row>
    <row r="25" spans="2:10" ht="14.4" thickBot="1">
      <c r="B25" s="115" t="s">
        <v>158</v>
      </c>
      <c r="C25" s="37" t="s">
        <v>139</v>
      </c>
      <c r="D25" s="82">
        <v>5</v>
      </c>
      <c r="E25" s="39">
        <v>-38233.333333333336</v>
      </c>
      <c r="F25" s="113">
        <f>+E25*D25</f>
        <v>-191166.66666666669</v>
      </c>
    </row>
    <row r="26" spans="2:10" ht="14.4" thickTop="1"/>
  </sheetData>
  <sheetProtection algorithmName="SHA-512" hashValue="Rav2QlIJU51IcBMkJNW051Nx4TqLJSdhFkvFwe1sV1hKaKxd/QN6BRutBGYmR+h+KQr4JzqopGZiLXBrnkozhA==" saltValue="SIG0Ki0l9oizUt1mWiDESg=="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11</vt:i4>
      </vt:variant>
    </vt:vector>
  </HeadingPairs>
  <TitlesOfParts>
    <vt:vector size="26" baseType="lpstr">
      <vt:lpstr>Forside</vt:lpstr>
      <vt:lpstr>Begreper</vt:lpstr>
      <vt:lpstr>Steg for steg</vt:lpstr>
      <vt:lpstr>Planlegging og Evaluering</vt:lpstr>
      <vt:lpstr>Prisskjema</vt:lpstr>
      <vt:lpstr>Tilbud 1</vt:lpstr>
      <vt:lpstr>Tilbud 2</vt:lpstr>
      <vt:lpstr>Tilbud 3</vt:lpstr>
      <vt:lpstr>Tilbud 4</vt:lpstr>
      <vt:lpstr>Tilbud 5</vt:lpstr>
      <vt:lpstr>Tilbud 6</vt:lpstr>
      <vt:lpstr>Tilbud 7</vt:lpstr>
      <vt:lpstr>Oppfølging</vt:lpstr>
      <vt:lpstr>Motor</vt:lpstr>
      <vt:lpstr>Score</vt:lpstr>
      <vt:lpstr>InvesteringT1</vt:lpstr>
      <vt:lpstr>Justert_prisstigning</vt:lpstr>
      <vt:lpstr>Kalkulsjonsrente</vt:lpstr>
      <vt:lpstr>Levetid</vt:lpstr>
      <vt:lpstr>Navn_anskaffelse</vt:lpstr>
      <vt:lpstr>Norges_Banks_inflasjonsmål</vt:lpstr>
      <vt:lpstr>Prisjustering</vt:lpstr>
      <vt:lpstr>Restverdi</vt:lpstr>
      <vt:lpstr>Forside!Utskriftsområde</vt:lpstr>
      <vt:lpstr>Prisskjema!Utskriftsområde</vt:lpstr>
      <vt:lpstr>Score!Utskriftsområde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Aass, Asle</dc:creator>
  <cp:lastModifiedBy>Sørby, Jorunn</cp:lastModifiedBy>
  <cp:lastPrinted>2017-11-24T08:33:57Z</cp:lastPrinted>
  <dcterms:created xsi:type="dcterms:W3CDTF">2017-06-29T10:54:35Z</dcterms:created>
  <dcterms:modified xsi:type="dcterms:W3CDTF">2017-12-14T09:53:09Z</dcterms:modified>
</cp:coreProperties>
</file>